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defaultThemeVersion="124226"/>
  <mc:AlternateContent xmlns:mc="http://schemas.openxmlformats.org/markup-compatibility/2006">
    <mc:Choice Requires="x15">
      <x15ac:absPath xmlns:x15ac="http://schemas.microsoft.com/office/spreadsheetml/2010/11/ac" url="C:\Users\m00007506\Desktop\"/>
    </mc:Choice>
  </mc:AlternateContent>
  <xr:revisionPtr revIDLastSave="0" documentId="13_ncr:1_{2931A31F-9C41-4CBA-A054-0D1B5F13F861}" xr6:coauthVersionLast="47" xr6:coauthVersionMax="47" xr10:uidLastSave="{00000000-0000-0000-0000-000000000000}"/>
  <workbookProtection workbookAlgorithmName="SHA-512" workbookHashValue="Kfms9H5POFxQ3CL3ITrOiCW1f0hQI+XuHru+dewHhYMfA6+YcvwW5rx2W+cobqurFUi5NjftKNHkbl1hquNqfA==" workbookSaltValue="g0hEar+tPi8/lgtwYUjUnQ==" workbookSpinCount="100000" lockStructure="1"/>
  <bookViews>
    <workbookView xWindow="-120" yWindow="-120" windowWidth="29040" windowHeight="15840" activeTab="2" xr2:uid="{00000000-000D-0000-FFFF-FFFF00000000}"/>
  </bookViews>
  <sheets>
    <sheet name="試算をする前に・・・" sheetId="19" r:id="rId1"/>
    <sheet name="所得金額とは" sheetId="26" r:id="rId2"/>
    <sheet name="試算シートA" sheetId="24" r:id="rId3"/>
    <sheet name="試算シートB" sheetId="27" r:id="rId4"/>
    <sheet name="軽減判定" sheetId="4" state="hidden" r:id="rId5"/>
  </sheets>
  <definedNames>
    <definedName name="_xlnm.Print_Area" localSheetId="4">軽減判定!$A$1:$J$27</definedName>
    <definedName name="_xlnm.Print_Area" localSheetId="2">試算シートA!$A$1:$O$23</definedName>
    <definedName name="_xlnm.Print_Area" localSheetId="3">試算シートB!$A$1:$O$23</definedName>
    <definedName name="_xlnm.Print_Area" localSheetId="0">試算をする前に・・・!$A$1:$Q$25</definedName>
    <definedName name="_xlnm.Print_Area" localSheetId="1">所得金額とは!$A$1:$R$163</definedName>
    <definedName name="Z_813CF4DA_321F_40D8_B878_1BB99E1534D2_.wvu.Cols" localSheetId="2" hidden="1">試算シートA!$B:$B</definedName>
    <definedName name="Z_813CF4DA_321F_40D8_B878_1BB99E1534D2_.wvu.Cols" localSheetId="3" hidden="1">試算シートB!$B:$B</definedName>
  </definedNames>
  <calcPr calcId="191029" concurrentCalc="0"/>
  <customWorkbookViews>
    <customWorkbookView name="吉田　なつみ - 個人用ビュー" guid="{813CF4DA-321F-40D8-B878-1BB99E1534D2}" mergeInterval="0" personalView="1" maximized="1" windowWidth="1276" windowHeight="79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24" l="1"/>
  <c r="S26" i="24"/>
  <c r="R26" i="24"/>
  <c r="B12" i="24"/>
  <c r="G6" i="24"/>
  <c r="G12" i="24"/>
  <c r="H19" i="24"/>
  <c r="K6" i="24"/>
  <c r="U15" i="24"/>
  <c r="V15" i="24"/>
  <c r="M6" i="24"/>
  <c r="U18" i="24"/>
  <c r="V18" i="24"/>
  <c r="V19" i="24"/>
  <c r="L15" i="24"/>
  <c r="V16" i="24"/>
  <c r="J15" i="24"/>
  <c r="T26" i="24"/>
  <c r="I6" i="24"/>
  <c r="J6" i="24"/>
  <c r="J12" i="24"/>
  <c r="J5" i="24"/>
  <c r="G8" i="24"/>
  <c r="I8" i="24"/>
  <c r="B7" i="27"/>
  <c r="G7" i="27"/>
  <c r="I7" i="27"/>
  <c r="N7" i="27"/>
  <c r="O7" i="27"/>
  <c r="B8" i="27"/>
  <c r="N8" i="27"/>
  <c r="O8" i="27"/>
  <c r="R29" i="27"/>
  <c r="N13" i="27"/>
  <c r="N14" i="27"/>
  <c r="J7" i="27"/>
  <c r="K7" i="27"/>
  <c r="B13" i="27"/>
  <c r="J13" i="27"/>
  <c r="G8" i="27"/>
  <c r="I8" i="27"/>
  <c r="J8" i="27"/>
  <c r="K8" i="27"/>
  <c r="J14" i="27"/>
  <c r="N17" i="27"/>
  <c r="L17" i="27"/>
  <c r="J17" i="27"/>
  <c r="B6" i="27"/>
  <c r="B12" i="27"/>
  <c r="R26" i="27"/>
  <c r="S26" i="27"/>
  <c r="T26" i="27"/>
  <c r="G6" i="27"/>
  <c r="G12" i="27"/>
  <c r="H19" i="27"/>
  <c r="Z92" i="26"/>
  <c r="V95" i="26"/>
  <c r="AH95" i="26"/>
  <c r="Z99" i="26"/>
  <c r="V89" i="26"/>
  <c r="V88" i="26"/>
  <c r="AH92" i="26"/>
  <c r="AE99" i="26"/>
  <c r="C91" i="26"/>
  <c r="Z103" i="26"/>
  <c r="Z105" i="26"/>
  <c r="X95" i="26"/>
  <c r="AH97" i="26"/>
  <c r="X88" i="26"/>
  <c r="AH94" i="26"/>
  <c r="AE101" i="26"/>
  <c r="W95" i="26"/>
  <c r="AH96" i="26"/>
  <c r="W88" i="26"/>
  <c r="AH93" i="26"/>
  <c r="AE100" i="26"/>
  <c r="B9" i="27"/>
  <c r="K9" i="27"/>
  <c r="U15" i="27"/>
  <c r="H6" i="24"/>
  <c r="G11" i="27"/>
  <c r="G9" i="27"/>
  <c r="G10" i="27"/>
  <c r="B7" i="24"/>
  <c r="B8" i="24"/>
  <c r="G11" i="24"/>
  <c r="G10" i="24"/>
  <c r="G9" i="24"/>
  <c r="G7" i="24"/>
  <c r="B9" i="24"/>
  <c r="B10" i="24"/>
  <c r="B11" i="24"/>
  <c r="H7" i="24"/>
  <c r="I7" i="24"/>
  <c r="I9" i="24"/>
  <c r="I10" i="24"/>
  <c r="I11" i="24"/>
  <c r="H8" i="24"/>
  <c r="H9" i="24"/>
  <c r="H10" i="24"/>
  <c r="H11" i="24"/>
  <c r="H12" i="24"/>
  <c r="I12" i="24"/>
  <c r="K7" i="24"/>
  <c r="K8" i="24"/>
  <c r="B10" i="27"/>
  <c r="B11" i="27"/>
  <c r="T22" i="27"/>
  <c r="T21" i="27"/>
  <c r="T20" i="27"/>
  <c r="N5" i="27"/>
  <c r="T19" i="27"/>
  <c r="T18" i="27"/>
  <c r="M5" i="27"/>
  <c r="T17" i="27"/>
  <c r="L5" i="27"/>
  <c r="T16" i="27"/>
  <c r="T15" i="27"/>
  <c r="T14" i="27"/>
  <c r="J5" i="27"/>
  <c r="H11" i="27"/>
  <c r="M10" i="27"/>
  <c r="O10" i="27"/>
  <c r="M9" i="27"/>
  <c r="N9" i="27"/>
  <c r="M8" i="27"/>
  <c r="O5" i="27"/>
  <c r="K5" i="27"/>
  <c r="X99" i="26"/>
  <c r="X98" i="26"/>
  <c r="X97" i="26"/>
  <c r="X96" i="26"/>
  <c r="W99" i="26"/>
  <c r="W98" i="26"/>
  <c r="W97" i="26"/>
  <c r="W96" i="26"/>
  <c r="V99" i="26"/>
  <c r="V98" i="26"/>
  <c r="V97" i="26"/>
  <c r="V96" i="26"/>
  <c r="X92" i="26"/>
  <c r="X91" i="26"/>
  <c r="X90" i="26"/>
  <c r="X89" i="26"/>
  <c r="W92" i="26"/>
  <c r="W91" i="26"/>
  <c r="W90" i="26"/>
  <c r="W89" i="26"/>
  <c r="V92" i="26"/>
  <c r="V91" i="26"/>
  <c r="V90" i="26"/>
  <c r="M7" i="27"/>
  <c r="O9" i="27"/>
  <c r="M11" i="27"/>
  <c r="H9" i="27"/>
  <c r="I9" i="27"/>
  <c r="L7" i="27"/>
  <c r="H10" i="27"/>
  <c r="J9" i="27"/>
  <c r="L9" i="27"/>
  <c r="K10" i="27"/>
  <c r="K11" i="27"/>
  <c r="V15" i="27"/>
  <c r="V16" i="27"/>
  <c r="J15" i="27"/>
  <c r="L13" i="27"/>
  <c r="U18" i="27"/>
  <c r="V18" i="27"/>
  <c r="V19" i="27"/>
  <c r="L15" i="27"/>
  <c r="H8" i="27"/>
  <c r="I10" i="27"/>
  <c r="N11" i="27"/>
  <c r="O11" i="27"/>
  <c r="U21" i="27"/>
  <c r="V21" i="27"/>
  <c r="V22" i="27"/>
  <c r="N15" i="27"/>
  <c r="N10" i="27"/>
  <c r="L22" i="27"/>
  <c r="H7" i="27"/>
  <c r="J17" i="24"/>
  <c r="R29" i="24"/>
  <c r="T22" i="24"/>
  <c r="T21" i="24"/>
  <c r="O5" i="24"/>
  <c r="T20" i="24"/>
  <c r="N5" i="24"/>
  <c r="T19" i="24"/>
  <c r="T18" i="24"/>
  <c r="M5" i="24"/>
  <c r="T17" i="24"/>
  <c r="L5" i="24"/>
  <c r="N17" i="24"/>
  <c r="L17" i="24"/>
  <c r="T16" i="24"/>
  <c r="T15" i="24"/>
  <c r="T14" i="24"/>
  <c r="N10" i="24"/>
  <c r="N9" i="24"/>
  <c r="N8" i="24"/>
  <c r="H12" i="27"/>
  <c r="I11" i="27"/>
  <c r="N16" i="27"/>
  <c r="N12" i="27"/>
  <c r="J10" i="27"/>
  <c r="L10" i="27"/>
  <c r="L8" i="27"/>
  <c r="O6" i="24"/>
  <c r="N13" i="24"/>
  <c r="K9" i="24"/>
  <c r="O9" i="24"/>
  <c r="K5" i="24"/>
  <c r="O10" i="24"/>
  <c r="M7" i="24"/>
  <c r="M11" i="24"/>
  <c r="K10" i="24"/>
  <c r="M10" i="24"/>
  <c r="L13" i="24"/>
  <c r="O8" i="24"/>
  <c r="N11" i="24"/>
  <c r="L22" i="24"/>
  <c r="O7" i="24"/>
  <c r="M9" i="24"/>
  <c r="K11" i="24"/>
  <c r="O11" i="24"/>
  <c r="M8" i="24"/>
  <c r="J13" i="24"/>
  <c r="L11" i="27"/>
  <c r="L14" i="27"/>
  <c r="L16" i="27"/>
  <c r="J11" i="27"/>
  <c r="J12" i="27"/>
  <c r="I12" i="27"/>
  <c r="L8" i="24"/>
  <c r="L11" i="24"/>
  <c r="U21" i="24"/>
  <c r="J8" i="24"/>
  <c r="L10" i="24"/>
  <c r="J10" i="24"/>
  <c r="J16" i="27"/>
  <c r="N19" i="27"/>
  <c r="N21" i="27"/>
  <c r="L12" i="27"/>
  <c r="J11" i="24"/>
  <c r="N6" i="24"/>
  <c r="N7" i="24"/>
  <c r="L7" i="24"/>
  <c r="J7" i="24"/>
  <c r="J9" i="24"/>
  <c r="L9" i="24"/>
  <c r="L6" i="24"/>
  <c r="J14" i="24"/>
  <c r="N14" i="24"/>
  <c r="N12" i="24"/>
  <c r="V21" i="24"/>
  <c r="V22" i="24"/>
  <c r="L14" i="24"/>
  <c r="L12" i="24"/>
  <c r="N15" i="24"/>
  <c r="N16" i="24"/>
  <c r="J16" i="24"/>
  <c r="L16" i="24"/>
  <c r="N19" i="24"/>
  <c r="N21" i="24"/>
  <c r="D19" i="4"/>
  <c r="D18" i="4"/>
  <c r="D17" i="4"/>
  <c r="D16" i="4"/>
  <c r="D15" i="4"/>
  <c r="D14" i="4"/>
  <c r="D13" i="4"/>
  <c r="D12" i="4"/>
  <c r="D11" i="4"/>
  <c r="D10" i="4"/>
  <c r="C19" i="4"/>
  <c r="C18" i="4"/>
  <c r="C17" i="4"/>
  <c r="C16" i="4"/>
  <c r="C15" i="4"/>
  <c r="C14" i="4"/>
  <c r="C13" i="4"/>
  <c r="C12" i="4"/>
  <c r="C11" i="4"/>
  <c r="C10" i="4"/>
  <c r="B19" i="4"/>
  <c r="B18" i="4"/>
  <c r="B17" i="4"/>
  <c r="B16" i="4"/>
  <c r="B15" i="4"/>
  <c r="B14" i="4"/>
  <c r="B13" i="4"/>
  <c r="B12" i="4"/>
  <c r="B11" i="4"/>
  <c r="B10" i="4"/>
</calcChain>
</file>

<file path=xl/sharedStrings.xml><?xml version="1.0" encoding="utf-8"?>
<sst xmlns="http://schemas.openxmlformats.org/spreadsheetml/2006/main" count="327" uniqueCount="137">
  <si>
    <t>総所得金額</t>
    <rPh sb="0" eb="3">
      <t>ソウショトク</t>
    </rPh>
    <rPh sb="3" eb="5">
      <t>キンガク</t>
    </rPh>
    <phoneticPr fontId="2"/>
  </si>
  <si>
    <t>医療分</t>
    <rPh sb="0" eb="2">
      <t>イリョウ</t>
    </rPh>
    <rPh sb="2" eb="3">
      <t>ブン</t>
    </rPh>
    <phoneticPr fontId="2"/>
  </si>
  <si>
    <t>所得割</t>
    <rPh sb="0" eb="2">
      <t>ショトク</t>
    </rPh>
    <rPh sb="2" eb="3">
      <t>ワリ</t>
    </rPh>
    <phoneticPr fontId="2"/>
  </si>
  <si>
    <t>均等割</t>
    <rPh sb="0" eb="3">
      <t>キントウワ</t>
    </rPh>
    <phoneticPr fontId="2"/>
  </si>
  <si>
    <t>介護分</t>
    <rPh sb="0" eb="2">
      <t>カイゴ</t>
    </rPh>
    <rPh sb="2" eb="3">
      <t>ブン</t>
    </rPh>
    <phoneticPr fontId="2"/>
  </si>
  <si>
    <t>平等割</t>
    <rPh sb="0" eb="2">
      <t>ビョウドウ</t>
    </rPh>
    <rPh sb="2" eb="3">
      <t>ワリ</t>
    </rPh>
    <phoneticPr fontId="2"/>
  </si>
  <si>
    <t>計</t>
    <rPh sb="0" eb="1">
      <t>ケイ</t>
    </rPh>
    <phoneticPr fontId="2"/>
  </si>
  <si>
    <t>平等割額</t>
    <rPh sb="0" eb="2">
      <t>ビョウドウ</t>
    </rPh>
    <rPh sb="2" eb="3">
      <t>ワリ</t>
    </rPh>
    <rPh sb="3" eb="4">
      <t>ガク</t>
    </rPh>
    <phoneticPr fontId="2"/>
  </si>
  <si>
    <t>世帯主が国保に加入する場合</t>
    <rPh sb="0" eb="3">
      <t>セタイヌシ</t>
    </rPh>
    <rPh sb="4" eb="6">
      <t>コクホ</t>
    </rPh>
    <rPh sb="7" eb="9">
      <t>カニュウ</t>
    </rPh>
    <rPh sb="11" eb="13">
      <t>バアイ</t>
    </rPh>
    <phoneticPr fontId="2"/>
  </si>
  <si>
    <t>【税額表】（年額）</t>
    <rPh sb="1" eb="3">
      <t>ゼイガク</t>
    </rPh>
    <rPh sb="3" eb="4">
      <t>ヒョウ</t>
    </rPh>
    <rPh sb="6" eb="8">
      <t>ネンガク</t>
    </rPh>
    <phoneticPr fontId="2"/>
  </si>
  <si>
    <t>世帯主</t>
    <rPh sb="0" eb="3">
      <t>セタイヌシ</t>
    </rPh>
    <phoneticPr fontId="2"/>
  </si>
  <si>
    <t>世帯員１</t>
    <rPh sb="0" eb="3">
      <t>セタイイン</t>
    </rPh>
    <phoneticPr fontId="2"/>
  </si>
  <si>
    <t>世帯員２</t>
    <rPh sb="0" eb="3">
      <t>セタイイン</t>
    </rPh>
    <phoneticPr fontId="2"/>
  </si>
  <si>
    <t>世帯員３</t>
    <rPh sb="0" eb="3">
      <t>セタイイン</t>
    </rPh>
    <phoneticPr fontId="2"/>
  </si>
  <si>
    <t>世帯主が国保に加入しない場合</t>
    <rPh sb="0" eb="3">
      <t>セタイヌシ</t>
    </rPh>
    <rPh sb="4" eb="6">
      <t>コクホ</t>
    </rPh>
    <rPh sb="7" eb="9">
      <t>カニュウ</t>
    </rPh>
    <rPh sb="12" eb="14">
      <t>バアイ</t>
    </rPh>
    <phoneticPr fontId="2"/>
  </si>
  <si>
    <t>軽減判定</t>
    <rPh sb="0" eb="2">
      <t>ケイゲン</t>
    </rPh>
    <rPh sb="2" eb="4">
      <t>ハンテイ</t>
    </rPh>
    <phoneticPr fontId="2"/>
  </si>
  <si>
    <t>７割軽減</t>
    <rPh sb="1" eb="2">
      <t>ワリ</t>
    </rPh>
    <rPh sb="2" eb="4">
      <t>ケイゲン</t>
    </rPh>
    <phoneticPr fontId="2"/>
  </si>
  <si>
    <t>世帯所得</t>
    <rPh sb="0" eb="2">
      <t>セタイ</t>
    </rPh>
    <rPh sb="2" eb="4">
      <t>ショトク</t>
    </rPh>
    <phoneticPr fontId="2"/>
  </si>
  <si>
    <t>円以下</t>
    <rPh sb="0" eb="1">
      <t>エン</t>
    </rPh>
    <rPh sb="1" eb="3">
      <t>イカ</t>
    </rPh>
    <phoneticPr fontId="2"/>
  </si>
  <si>
    <t>５割軽減</t>
    <rPh sb="1" eb="2">
      <t>ワリ</t>
    </rPh>
    <rPh sb="2" eb="4">
      <t>ケイゲン</t>
    </rPh>
    <phoneticPr fontId="2"/>
  </si>
  <si>
    <t>円加算した額以内</t>
    <rPh sb="0" eb="1">
      <t>エン</t>
    </rPh>
    <rPh sb="1" eb="3">
      <t>カサン</t>
    </rPh>
    <rPh sb="5" eb="6">
      <t>ガク</t>
    </rPh>
    <rPh sb="6" eb="8">
      <t>イナイ</t>
    </rPh>
    <phoneticPr fontId="2"/>
  </si>
  <si>
    <t>２割軽減</t>
    <rPh sb="1" eb="2">
      <t>ワリ</t>
    </rPh>
    <rPh sb="2" eb="4">
      <t>ケイゲン</t>
    </rPh>
    <phoneticPr fontId="2"/>
  </si>
  <si>
    <t>円に
加入人数分</t>
    <rPh sb="0" eb="1">
      <t>エン</t>
    </rPh>
    <rPh sb="3" eb="5">
      <t>カニュウ</t>
    </rPh>
    <rPh sb="5" eb="7">
      <t>ニンズウ</t>
    </rPh>
    <rPh sb="7" eb="8">
      <t>ブン</t>
    </rPh>
    <phoneticPr fontId="2"/>
  </si>
  <si>
    <t>7割軽減</t>
    <rPh sb="1" eb="2">
      <t>ワリ</t>
    </rPh>
    <rPh sb="2" eb="4">
      <t>ケイゲン</t>
    </rPh>
    <phoneticPr fontId="2"/>
  </si>
  <si>
    <t>軽減額</t>
    <rPh sb="0" eb="2">
      <t>ケイゲン</t>
    </rPh>
    <rPh sb="2" eb="3">
      <t>ガク</t>
    </rPh>
    <phoneticPr fontId="2"/>
  </si>
  <si>
    <t>が適用になる可能性があります。</t>
    <rPh sb="1" eb="3">
      <t>テキヨウ</t>
    </rPh>
    <rPh sb="6" eb="9">
      <t>カノウセイ</t>
    </rPh>
    <phoneticPr fontId="2"/>
  </si>
  <si>
    <t>軽減判定参考所得額</t>
    <rPh sb="0" eb="2">
      <t>ケイゲン</t>
    </rPh>
    <rPh sb="2" eb="4">
      <t>ハンテイ</t>
    </rPh>
    <rPh sb="4" eb="6">
      <t>サンコウ</t>
    </rPh>
    <rPh sb="6" eb="8">
      <t>ショトク</t>
    </rPh>
    <rPh sb="8" eb="9">
      <t>ガク</t>
    </rPh>
    <phoneticPr fontId="2"/>
  </si>
  <si>
    <t>以内</t>
    <rPh sb="0" eb="2">
      <t>イナイ</t>
    </rPh>
    <phoneticPr fontId="2"/>
  </si>
  <si>
    <t>試算タイプは・・・</t>
    <rPh sb="0" eb="2">
      <t>シサン</t>
    </rPh>
    <phoneticPr fontId="2"/>
  </si>
  <si>
    <t>Ａ</t>
    <phoneticPr fontId="2"/>
  </si>
  <si>
    <t>シートをご利用ください。</t>
    <rPh sb="5" eb="7">
      <t>リヨウ</t>
    </rPh>
    <phoneticPr fontId="2"/>
  </si>
  <si>
    <t>Ｂ</t>
    <phoneticPr fontId="2"/>
  </si>
  <si>
    <t>世帯員４</t>
    <rPh sb="0" eb="3">
      <t>セタイイン</t>
    </rPh>
    <phoneticPr fontId="2"/>
  </si>
  <si>
    <t>世帯員５</t>
    <rPh sb="0" eb="3">
      <t>セタイイン</t>
    </rPh>
    <phoneticPr fontId="2"/>
  </si>
  <si>
    <t>所得金額の確認</t>
    <rPh sb="0" eb="2">
      <t>ショトク</t>
    </rPh>
    <rPh sb="2" eb="4">
      <t>キンガク</t>
    </rPh>
    <rPh sb="5" eb="7">
      <t>カクニン</t>
    </rPh>
    <phoneticPr fontId="2"/>
  </si>
  <si>
    <t>見本②【公的年金等の源泉徴収票】</t>
    <rPh sb="0" eb="2">
      <t>ミホン</t>
    </rPh>
    <rPh sb="4" eb="6">
      <t>コウテキ</t>
    </rPh>
    <rPh sb="6" eb="8">
      <t>ネンキン</t>
    </rPh>
    <rPh sb="8" eb="9">
      <t>トウ</t>
    </rPh>
    <rPh sb="10" eb="12">
      <t>ゲンセン</t>
    </rPh>
    <rPh sb="12" eb="14">
      <t>チョウシュウ</t>
    </rPh>
    <rPh sb="14" eb="15">
      <t>ヒョウ</t>
    </rPh>
    <phoneticPr fontId="2"/>
  </si>
  <si>
    <t>見本④【市民税県民税申告書】</t>
    <rPh sb="0" eb="2">
      <t>ミホン</t>
    </rPh>
    <rPh sb="4" eb="7">
      <t>シミンゼイ</t>
    </rPh>
    <rPh sb="7" eb="10">
      <t>ケンミンゼイ</t>
    </rPh>
    <rPh sb="10" eb="13">
      <t>シンコクショ</t>
    </rPh>
    <phoneticPr fontId="2"/>
  </si>
  <si>
    <t>支援分</t>
    <rPh sb="0" eb="2">
      <t>シエン</t>
    </rPh>
    <rPh sb="2" eb="3">
      <t>ブン</t>
    </rPh>
    <phoneticPr fontId="2"/>
  </si>
  <si>
    <t>試算するシートを選択しましょう。</t>
    <rPh sb="0" eb="2">
      <t>シサン</t>
    </rPh>
    <rPh sb="8" eb="10">
      <t>センタク</t>
    </rPh>
    <phoneticPr fontId="2"/>
  </si>
  <si>
    <t>限度額</t>
    <rPh sb="0" eb="2">
      <t>ゲンド</t>
    </rPh>
    <rPh sb="2" eb="3">
      <t>ガク</t>
    </rPh>
    <phoneticPr fontId="2"/>
  </si>
  <si>
    <t>医療分</t>
    <rPh sb="0" eb="2">
      <t>イリョウ</t>
    </rPh>
    <rPh sb="2" eb="3">
      <t>ブン</t>
    </rPh>
    <phoneticPr fontId="2"/>
  </si>
  <si>
    <t>支援分</t>
    <rPh sb="0" eb="2">
      <t>シエン</t>
    </rPh>
    <rPh sb="2" eb="3">
      <t>ブン</t>
    </rPh>
    <phoneticPr fontId="2"/>
  </si>
  <si>
    <t>介護分</t>
    <rPh sb="0" eb="2">
      <t>カイゴ</t>
    </rPh>
    <rPh sb="2" eb="3">
      <t>ブン</t>
    </rPh>
    <phoneticPr fontId="2"/>
  </si>
  <si>
    <t>月平均</t>
    <rPh sb="0" eb="3">
      <t>ツキヘイキン</t>
    </rPh>
    <phoneticPr fontId="2"/>
  </si>
  <si>
    <t>名様分の税額です</t>
    <rPh sb="0" eb="1">
      <t>メイ</t>
    </rPh>
    <rPh sb="1" eb="2">
      <t>サマ</t>
    </rPh>
    <rPh sb="2" eb="3">
      <t>ブン</t>
    </rPh>
    <rPh sb="4" eb="6">
      <t>ゼイガク</t>
    </rPh>
    <rPh sb="6" eb="7">
      <t>サンガク</t>
    </rPh>
    <phoneticPr fontId="2"/>
  </si>
  <si>
    <t>計算用</t>
    <rPh sb="0" eb="3">
      <t>ケイサンヨウ</t>
    </rPh>
    <phoneticPr fontId="2"/>
  </si>
  <si>
    <t>基礎控除
金額</t>
    <rPh sb="0" eb="2">
      <t>キソ</t>
    </rPh>
    <rPh sb="2" eb="4">
      <t>コウジョ</t>
    </rPh>
    <rPh sb="5" eb="7">
      <t>キンガク</t>
    </rPh>
    <phoneticPr fontId="2"/>
  </si>
  <si>
    <t>課税対象
金額</t>
    <rPh sb="0" eb="2">
      <t>カゼイ</t>
    </rPh>
    <rPh sb="2" eb="4">
      <t>タイショウ</t>
    </rPh>
    <rPh sb="5" eb="7">
      <t>キンガク</t>
    </rPh>
    <phoneticPr fontId="2"/>
  </si>
  <si>
    <t>国民健康保険税額
（年額）A+B+C</t>
    <rPh sb="0" eb="2">
      <t>コクミン</t>
    </rPh>
    <rPh sb="2" eb="4">
      <t>ケンコウ</t>
    </rPh>
    <rPh sb="4" eb="6">
      <t>ホケン</t>
    </rPh>
    <rPh sb="6" eb="7">
      <t>ゼイ</t>
    </rPh>
    <rPh sb="7" eb="8">
      <t>ガク</t>
    </rPh>
    <rPh sb="10" eb="12">
      <t>ネンガク</t>
    </rPh>
    <phoneticPr fontId="2"/>
  </si>
  <si>
    <t>給与収入</t>
    <rPh sb="0" eb="2">
      <t>キュウヨ</t>
    </rPh>
    <rPh sb="2" eb="4">
      <t>シュウニュウ</t>
    </rPh>
    <phoneticPr fontId="2"/>
  </si>
  <si>
    <t>年金収入</t>
    <rPh sb="0" eb="2">
      <t>ネンキン</t>
    </rPh>
    <rPh sb="2" eb="4">
      <t>シュウニュウ</t>
    </rPh>
    <phoneticPr fontId="2"/>
  </si>
  <si>
    <t>昭和30.1.2以後（６５歳未満）に生まれた人</t>
    <rPh sb="0" eb="2">
      <t>ショウワ</t>
    </rPh>
    <rPh sb="8" eb="10">
      <t>イゴ</t>
    </rPh>
    <rPh sb="13" eb="16">
      <t>サイミマン</t>
    </rPh>
    <rPh sb="18" eb="19">
      <t>ウ</t>
    </rPh>
    <rPh sb="22" eb="23">
      <t>ヒト</t>
    </rPh>
    <phoneticPr fontId="2"/>
  </si>
  <si>
    <t>収入の合計</t>
    <rPh sb="0" eb="2">
      <t>シュウニュウ</t>
    </rPh>
    <rPh sb="3" eb="5">
      <t>ゴウケイ</t>
    </rPh>
    <phoneticPr fontId="2"/>
  </si>
  <si>
    <t>所得</t>
    <rPh sb="0" eb="2">
      <t>ショトク</t>
    </rPh>
    <phoneticPr fontId="2"/>
  </si>
  <si>
    <t>昭和30.1.1以前（65歳以上）に生まれた人</t>
    <rPh sb="0" eb="2">
      <t>ショウワ</t>
    </rPh>
    <rPh sb="8" eb="10">
      <t>イゼン</t>
    </rPh>
    <rPh sb="13" eb="16">
      <t>サイイジョウ</t>
    </rPh>
    <rPh sb="18" eb="19">
      <t>ウ</t>
    </rPh>
    <rPh sb="22" eb="23">
      <t>ヒト</t>
    </rPh>
    <phoneticPr fontId="2"/>
  </si>
  <si>
    <t>軽減後税額</t>
    <rPh sb="0" eb="2">
      <t>ケイゲン</t>
    </rPh>
    <rPh sb="2" eb="3">
      <t>ゴ</t>
    </rPh>
    <rPh sb="3" eb="5">
      <t>ゼイガク</t>
    </rPh>
    <phoneticPr fontId="2"/>
  </si>
  <si>
    <t>賦課限度額</t>
    <rPh sb="0" eb="2">
      <t>フカ</t>
    </rPh>
    <rPh sb="2" eb="4">
      <t>ゲンド</t>
    </rPh>
    <rPh sb="4" eb="5">
      <t>ガク</t>
    </rPh>
    <phoneticPr fontId="2"/>
  </si>
  <si>
    <t>※緑枠内の入力が必要です。</t>
    <phoneticPr fontId="2"/>
  </si>
  <si>
    <t>医療給付費分</t>
    <rPh sb="0" eb="2">
      <t>イリョウ</t>
    </rPh>
    <rPh sb="2" eb="4">
      <t>キュウフ</t>
    </rPh>
    <rPh sb="4" eb="5">
      <t>ヒ</t>
    </rPh>
    <rPh sb="5" eb="6">
      <t>ブン</t>
    </rPh>
    <phoneticPr fontId="2"/>
  </si>
  <si>
    <t>後期高齢者支援金分</t>
    <rPh sb="0" eb="2">
      <t>コウキ</t>
    </rPh>
    <rPh sb="2" eb="5">
      <t>コウレイシャ</t>
    </rPh>
    <rPh sb="5" eb="7">
      <t>シエン</t>
    </rPh>
    <rPh sb="7" eb="8">
      <t>キン</t>
    </rPh>
    <rPh sb="8" eb="9">
      <t>ブン</t>
    </rPh>
    <phoneticPr fontId="2"/>
  </si>
  <si>
    <t>介護納付金分（40～64歳）</t>
    <rPh sb="0" eb="2">
      <t>カイゴ</t>
    </rPh>
    <rPh sb="2" eb="5">
      <t>ノウフキン</t>
    </rPh>
    <rPh sb="5" eb="6">
      <t>ブン</t>
    </rPh>
    <rPh sb="12" eb="13">
      <t>サイ</t>
    </rPh>
    <phoneticPr fontId="2"/>
  </si>
  <si>
    <t>加入者名
①</t>
    <rPh sb="0" eb="3">
      <t>カニュウシャ</t>
    </rPh>
    <rPh sb="3" eb="4">
      <t>メイ</t>
    </rPh>
    <phoneticPr fontId="2"/>
  </si>
  <si>
    <t>年齢
②</t>
    <rPh sb="0" eb="2">
      <t>ネンレイ</t>
    </rPh>
    <phoneticPr fontId="2"/>
  </si>
  <si>
    <t>世帯合計</t>
    <phoneticPr fontId="2"/>
  </si>
  <si>
    <t>介護計算用</t>
    <rPh sb="0" eb="2">
      <t>カイゴ</t>
    </rPh>
    <rPh sb="2" eb="4">
      <t>ケイサン</t>
    </rPh>
    <rPh sb="4" eb="5">
      <t>ヨウ</t>
    </rPh>
    <phoneticPr fontId="2"/>
  </si>
  <si>
    <t>文字</t>
    <rPh sb="0" eb="2">
      <t>モジ</t>
    </rPh>
    <phoneticPr fontId="2"/>
  </si>
  <si>
    <t>収入</t>
    <rPh sb="0" eb="2">
      <t>シュウニュウ</t>
    </rPh>
    <phoneticPr fontId="2"/>
  </si>
  <si>
    <t>一律</t>
    <rPh sb="0" eb="2">
      <t>イチリツ</t>
    </rPh>
    <phoneticPr fontId="2"/>
  </si>
  <si>
    <t>収入</t>
    <rPh sb="0" eb="2">
      <t>シュウニュウ</t>
    </rPh>
    <phoneticPr fontId="2"/>
  </si>
  <si>
    <t>式1</t>
    <rPh sb="0" eb="1">
      <t>シキ</t>
    </rPh>
    <phoneticPr fontId="2"/>
  </si>
  <si>
    <t>式2</t>
    <rPh sb="0" eb="1">
      <t>シキ</t>
    </rPh>
    <phoneticPr fontId="2"/>
  </si>
  <si>
    <t>式3</t>
    <rPh sb="0" eb="1">
      <t>シキ</t>
    </rPh>
    <phoneticPr fontId="2"/>
  </si>
  <si>
    <t>文字</t>
    <rPh sb="0" eb="2">
      <t>モジ</t>
    </rPh>
    <phoneticPr fontId="2"/>
  </si>
  <si>
    <t>※入力する金額については別シート「所得金額とは」をご覧ください。</t>
    <rPh sb="1" eb="3">
      <t>ニュウリョク</t>
    </rPh>
    <rPh sb="5" eb="7">
      <t>キンガク</t>
    </rPh>
    <rPh sb="12" eb="13">
      <t>ベツ</t>
    </rPh>
    <rPh sb="17" eb="19">
      <t>ショトク</t>
    </rPh>
    <rPh sb="19" eb="21">
      <t>キンガク</t>
    </rPh>
    <rPh sb="26" eb="27">
      <t>ラン</t>
    </rPh>
    <phoneticPr fontId="2"/>
  </si>
  <si>
    <t>給与・年金の計算表</t>
    <rPh sb="0" eb="2">
      <t>キュウヨ</t>
    </rPh>
    <rPh sb="3" eb="5">
      <t>ネンキン</t>
    </rPh>
    <rPh sb="6" eb="8">
      <t>ケイサン</t>
    </rPh>
    <rPh sb="8" eb="9">
      <t>ヒョウ</t>
    </rPh>
    <phoneticPr fontId="2"/>
  </si>
  <si>
    <t>均等割人数</t>
    <rPh sb="0" eb="2">
      <t>キントウ</t>
    </rPh>
    <rPh sb="2" eb="3">
      <t>ワリ</t>
    </rPh>
    <rPh sb="3" eb="5">
      <t>ニンズウ</t>
    </rPh>
    <phoneticPr fontId="2"/>
  </si>
  <si>
    <t>税率表</t>
    <rPh sb="0" eb="2">
      <t>ゼイリツ</t>
    </rPh>
    <rPh sb="2" eb="3">
      <t>ヒョウ</t>
    </rPh>
    <phoneticPr fontId="2"/>
  </si>
  <si>
    <t>基礎控除</t>
    <rPh sb="0" eb="2">
      <t>キソ</t>
    </rPh>
    <rPh sb="2" eb="4">
      <t>コウジョ</t>
    </rPh>
    <phoneticPr fontId="2"/>
  </si>
  <si>
    <t>収入－65万円</t>
    <rPh sb="0" eb="2">
      <t>シュウニュウ</t>
    </rPh>
    <rPh sb="5" eb="7">
      <t>マンエン</t>
    </rPh>
    <phoneticPr fontId="2"/>
  </si>
  <si>
    <t>969000円</t>
    <rPh sb="6" eb="7">
      <t>エン</t>
    </rPh>
    <phoneticPr fontId="2"/>
  </si>
  <si>
    <t>970000円</t>
    <rPh sb="6" eb="7">
      <t>エン</t>
    </rPh>
    <phoneticPr fontId="2"/>
  </si>
  <si>
    <t>972000円</t>
    <rPh sb="6" eb="7">
      <t>エン</t>
    </rPh>
    <phoneticPr fontId="2"/>
  </si>
  <si>
    <t>974000円</t>
    <rPh sb="6" eb="7">
      <t>エン</t>
    </rPh>
    <phoneticPr fontId="2"/>
  </si>
  <si>
    <t>収入÷４（千円未満切捨）×2.4</t>
    <rPh sb="0" eb="2">
      <t>シュウニュウ</t>
    </rPh>
    <rPh sb="5" eb="7">
      <t>センエン</t>
    </rPh>
    <rPh sb="7" eb="9">
      <t>ミマン</t>
    </rPh>
    <rPh sb="9" eb="11">
      <t>キリス</t>
    </rPh>
    <phoneticPr fontId="2"/>
  </si>
  <si>
    <t>収入÷４（千円未満切捨）×2.8-18万円</t>
    <rPh sb="0" eb="2">
      <t>シュウニュウ</t>
    </rPh>
    <rPh sb="5" eb="7">
      <t>センエン</t>
    </rPh>
    <rPh sb="7" eb="9">
      <t>ミマン</t>
    </rPh>
    <rPh sb="9" eb="11">
      <t>キリス</t>
    </rPh>
    <rPh sb="19" eb="20">
      <t>マン</t>
    </rPh>
    <rPh sb="20" eb="21">
      <t>エン</t>
    </rPh>
    <phoneticPr fontId="2"/>
  </si>
  <si>
    <t>収入÷４（千円未満切捨）×3.2-54万円</t>
    <rPh sb="0" eb="3">
      <t>シュウニュウワル</t>
    </rPh>
    <rPh sb="5" eb="7">
      <t>センエン</t>
    </rPh>
    <rPh sb="7" eb="9">
      <t>ミマン</t>
    </rPh>
    <rPh sb="9" eb="10">
      <t>キ</t>
    </rPh>
    <rPh sb="10" eb="11">
      <t>ス</t>
    </rPh>
    <rPh sb="19" eb="21">
      <t>マンエン</t>
    </rPh>
    <phoneticPr fontId="2"/>
  </si>
  <si>
    <t>収入×0.9-120万円</t>
    <rPh sb="0" eb="2">
      <t>シュウニュウ</t>
    </rPh>
    <rPh sb="10" eb="12">
      <t>マンエン</t>
    </rPh>
    <phoneticPr fontId="2"/>
  </si>
  <si>
    <t>収入－220万円</t>
    <rPh sb="0" eb="2">
      <t>シュウニュウ</t>
    </rPh>
    <rPh sb="6" eb="8">
      <t>マンエン</t>
    </rPh>
    <phoneticPr fontId="2"/>
  </si>
  <si>
    <t>収入-70万円</t>
    <rPh sb="0" eb="2">
      <t>シュウニュウ</t>
    </rPh>
    <rPh sb="5" eb="7">
      <t>マンエン</t>
    </rPh>
    <phoneticPr fontId="2"/>
  </si>
  <si>
    <t>収入×0.75-37万５千円</t>
    <rPh sb="0" eb="2">
      <t>シュウニュウ</t>
    </rPh>
    <rPh sb="10" eb="11">
      <t>マン</t>
    </rPh>
    <rPh sb="12" eb="14">
      <t>センエン</t>
    </rPh>
    <phoneticPr fontId="2"/>
  </si>
  <si>
    <t>収入×0.85-78万5千円</t>
    <rPh sb="0" eb="2">
      <t>シュウニュウ</t>
    </rPh>
    <rPh sb="10" eb="11">
      <t>マン</t>
    </rPh>
    <rPh sb="12" eb="13">
      <t>セン</t>
    </rPh>
    <rPh sb="13" eb="14">
      <t>エン</t>
    </rPh>
    <phoneticPr fontId="2"/>
  </si>
  <si>
    <t>収入×0.95-155万5千円</t>
    <rPh sb="0" eb="2">
      <t>シュウニュウ</t>
    </rPh>
    <rPh sb="11" eb="12">
      <t>マン</t>
    </rPh>
    <rPh sb="13" eb="15">
      <t>センエン</t>
    </rPh>
    <phoneticPr fontId="2"/>
  </si>
  <si>
    <t>式</t>
    <rPh sb="0" eb="1">
      <t>シキ</t>
    </rPh>
    <phoneticPr fontId="2"/>
  </si>
  <si>
    <t>見本①　【源泉徴収票】</t>
    <rPh sb="0" eb="2">
      <t>ミホン</t>
    </rPh>
    <rPh sb="5" eb="7">
      <t>ゲンセン</t>
    </rPh>
    <rPh sb="7" eb="9">
      <t>チョウシュウ</t>
    </rPh>
    <rPh sb="9" eb="10">
      <t>ヒョウ</t>
    </rPh>
    <phoneticPr fontId="2"/>
  </si>
  <si>
    <t>〇</t>
    <phoneticPr fontId="2"/>
  </si>
  <si>
    <t>昨年中（１月～12月）
の合計所得金額
③</t>
    <rPh sb="0" eb="3">
      <t>サクネンチュウ</t>
    </rPh>
    <rPh sb="5" eb="6">
      <t>ガツ</t>
    </rPh>
    <rPh sb="9" eb="10">
      <t>ガツ</t>
    </rPh>
    <rPh sb="13" eb="15">
      <t>ゴウケイ</t>
    </rPh>
    <rPh sb="15" eb="17">
      <t>ショトク</t>
    </rPh>
    <rPh sb="17" eb="19">
      <t>キンガク</t>
    </rPh>
    <phoneticPr fontId="2"/>
  </si>
  <si>
    <t>所得判定用リスト</t>
    <rPh sb="0" eb="2">
      <t>ショトク</t>
    </rPh>
    <rPh sb="2" eb="5">
      <t>ハンテイヨウ</t>
    </rPh>
    <phoneticPr fontId="2"/>
  </si>
  <si>
    <t>昭和31.1.2以後に生まれた人（６５歳未満）</t>
    <rPh sb="0" eb="2">
      <t>ショウワ</t>
    </rPh>
    <rPh sb="8" eb="10">
      <t>イゴ</t>
    </rPh>
    <rPh sb="11" eb="12">
      <t>ウ</t>
    </rPh>
    <rPh sb="15" eb="16">
      <t>ヒト</t>
    </rPh>
    <phoneticPr fontId="2"/>
  </si>
  <si>
    <t>昭和31.1.1以前に生まれた人（65歳以上）</t>
    <rPh sb="0" eb="2">
      <t>ショウワ</t>
    </rPh>
    <rPh sb="8" eb="10">
      <t>イゼン</t>
    </rPh>
    <rPh sb="11" eb="12">
      <t>ウ</t>
    </rPh>
    <rPh sb="15" eb="16">
      <t>ヒト</t>
    </rPh>
    <phoneticPr fontId="2"/>
  </si>
  <si>
    <t>年金収入の合計</t>
    <rPh sb="0" eb="2">
      <t>ネンキン</t>
    </rPh>
    <rPh sb="2" eb="4">
      <t>シュウニュウ</t>
    </rPh>
    <rPh sb="5" eb="7">
      <t>ゴウケイ</t>
    </rPh>
    <phoneticPr fontId="2"/>
  </si>
  <si>
    <t>公的年金等雑所得以外の所得にかかる合計所得金額</t>
    <rPh sb="0" eb="2">
      <t>コウテキ</t>
    </rPh>
    <rPh sb="2" eb="4">
      <t>ネンキン</t>
    </rPh>
    <rPh sb="4" eb="5">
      <t>トウ</t>
    </rPh>
    <rPh sb="5" eb="8">
      <t>ザツショトク</t>
    </rPh>
    <rPh sb="8" eb="10">
      <t>イガイ</t>
    </rPh>
    <rPh sb="11" eb="13">
      <t>ショトク</t>
    </rPh>
    <rPh sb="17" eb="19">
      <t>ゴウケイ</t>
    </rPh>
    <rPh sb="19" eb="21">
      <t>ショトク</t>
    </rPh>
    <rPh sb="21" eb="23">
      <t>キンガク</t>
    </rPh>
    <phoneticPr fontId="2"/>
  </si>
  <si>
    <t>公的年金等の所得金額判別表</t>
    <rPh sb="0" eb="2">
      <t>コウテキ</t>
    </rPh>
    <rPh sb="2" eb="4">
      <t>ネンキン</t>
    </rPh>
    <rPh sb="4" eb="5">
      <t>トウ</t>
    </rPh>
    <rPh sb="6" eb="8">
      <t>ショトク</t>
    </rPh>
    <rPh sb="8" eb="10">
      <t>キンガク</t>
    </rPh>
    <rPh sb="10" eb="12">
      <t>ハンベツ</t>
    </rPh>
    <rPh sb="12" eb="13">
      <t>ヒョウ</t>
    </rPh>
    <phoneticPr fontId="2"/>
  </si>
  <si>
    <t>60～64歳</t>
    <rPh sb="5" eb="6">
      <t>サイ</t>
    </rPh>
    <phoneticPr fontId="2"/>
  </si>
  <si>
    <t>65歳以上</t>
    <rPh sb="2" eb="3">
      <t>サイ</t>
    </rPh>
    <rPh sb="3" eb="5">
      <t>イジョウ</t>
    </rPh>
    <phoneticPr fontId="2"/>
  </si>
  <si>
    <t>公的年金以外の所得金額</t>
    <rPh sb="0" eb="2">
      <t>コウテキ</t>
    </rPh>
    <rPh sb="2" eb="4">
      <t>ネンキン</t>
    </rPh>
    <rPh sb="4" eb="6">
      <t>イガイ</t>
    </rPh>
    <rPh sb="7" eb="9">
      <t>ショトク</t>
    </rPh>
    <rPh sb="9" eb="10">
      <t>キン</t>
    </rPh>
    <rPh sb="10" eb="11">
      <t>ガク</t>
    </rPh>
    <phoneticPr fontId="2"/>
  </si>
  <si>
    <t>1000万円以下の場合</t>
    <rPh sb="4" eb="6">
      <t>マンエン</t>
    </rPh>
    <rPh sb="6" eb="8">
      <t>イカ</t>
    </rPh>
    <rPh sb="9" eb="11">
      <t>バアイ</t>
    </rPh>
    <phoneticPr fontId="2"/>
  </si>
  <si>
    <t>1000万円～2000万円以下の場合</t>
    <rPh sb="4" eb="6">
      <t>マンエン</t>
    </rPh>
    <rPh sb="11" eb="12">
      <t>マン</t>
    </rPh>
    <rPh sb="12" eb="13">
      <t>エン</t>
    </rPh>
    <rPh sb="13" eb="15">
      <t>イカ</t>
    </rPh>
    <rPh sb="16" eb="18">
      <t>バアイ</t>
    </rPh>
    <phoneticPr fontId="2"/>
  </si>
  <si>
    <t>2000万円を超える場合</t>
    <rPh sb="4" eb="6">
      <t>マンエン</t>
    </rPh>
    <rPh sb="7" eb="8">
      <t>コ</t>
    </rPh>
    <rPh sb="10" eb="12">
      <t>バアイ</t>
    </rPh>
    <phoneticPr fontId="2"/>
  </si>
  <si>
    <t>令和３年１月１日
時点のご年齢</t>
    <rPh sb="0" eb="2">
      <t>レイワ</t>
    </rPh>
    <rPh sb="3" eb="4">
      <t>ネン</t>
    </rPh>
    <rPh sb="5" eb="6">
      <t>ガツ</t>
    </rPh>
    <rPh sb="7" eb="8">
      <t>ニチ</t>
    </rPh>
    <rPh sb="9" eb="11">
      <t>ジテン</t>
    </rPh>
    <rPh sb="13" eb="15">
      <t>ネンレイ</t>
    </rPh>
    <phoneticPr fontId="2"/>
  </si>
  <si>
    <t>年金の合計
収入金額</t>
    <rPh sb="0" eb="2">
      <t>ネンキン</t>
    </rPh>
    <rPh sb="3" eb="5">
      <t>ゴウケイ</t>
    </rPh>
    <rPh sb="6" eb="8">
      <t>シュウニュウ</t>
    </rPh>
    <rPh sb="8" eb="10">
      <t>キンガク</t>
    </rPh>
    <phoneticPr fontId="2"/>
  </si>
  <si>
    <t>年金所得計算表</t>
    <rPh sb="0" eb="2">
      <t>ネンキン</t>
    </rPh>
    <rPh sb="2" eb="4">
      <t>ショトク</t>
    </rPh>
    <rPh sb="4" eb="6">
      <t>ケイサン</t>
    </rPh>
    <rPh sb="6" eb="7">
      <t>ヒョウ</t>
    </rPh>
    <phoneticPr fontId="2"/>
  </si>
  <si>
    <t>公的年金の所得金額【参考】</t>
    <rPh sb="0" eb="2">
      <t>コウテキ</t>
    </rPh>
    <rPh sb="2" eb="4">
      <t>ネンキン</t>
    </rPh>
    <rPh sb="5" eb="7">
      <t>ショトク</t>
    </rPh>
    <rPh sb="7" eb="9">
      <t>キンガク</t>
    </rPh>
    <rPh sb="10" eb="12">
      <t>サンコウ</t>
    </rPh>
    <phoneticPr fontId="2"/>
  </si>
  <si>
    <t>昨年中（１月～12月）
の合計所得金額
③</t>
    <phoneticPr fontId="2"/>
  </si>
  <si>
    <t>円</t>
    <rPh sb="0" eb="1">
      <t>エン</t>
    </rPh>
    <phoneticPr fontId="2"/>
  </si>
  <si>
    <t>円　くらいです。</t>
    <rPh sb="0" eb="1">
      <t>エン</t>
    </rPh>
    <phoneticPr fontId="2"/>
  </si>
  <si>
    <t>歳</t>
    <rPh sb="0" eb="1">
      <t>サイ</t>
    </rPh>
    <phoneticPr fontId="2"/>
  </si>
  <si>
    <t>年齢</t>
    <rPh sb="0" eb="2">
      <t>ネンレイ</t>
    </rPh>
    <phoneticPr fontId="2"/>
  </si>
  <si>
    <t>公的年金以外の所得</t>
    <rPh sb="0" eb="6">
      <t>コウテキネンキンイガイ</t>
    </rPh>
    <rPh sb="7" eb="9">
      <t>ショトク</t>
    </rPh>
    <phoneticPr fontId="2"/>
  </si>
  <si>
    <t>公的年金以外の所得</t>
    <rPh sb="0" eb="2">
      <t>コウテキ</t>
    </rPh>
    <rPh sb="2" eb="6">
      <t>ネンキンイガイ</t>
    </rPh>
    <rPh sb="7" eb="9">
      <t>ショトク</t>
    </rPh>
    <phoneticPr fontId="2"/>
  </si>
  <si>
    <t>1000000～20000000</t>
    <phoneticPr fontId="2"/>
  </si>
  <si>
    <t>円の範囲内</t>
    <rPh sb="0" eb="1">
      <t>エン</t>
    </rPh>
    <rPh sb="2" eb="5">
      <t>ハンイナイ</t>
    </rPh>
    <phoneticPr fontId="2"/>
  </si>
  <si>
    <t>円を超える</t>
    <rPh sb="0" eb="1">
      <t>エン</t>
    </rPh>
    <rPh sb="2" eb="3">
      <t>コ</t>
    </rPh>
    <phoneticPr fontId="2"/>
  </si>
  <si>
    <t>年金所得参考金額</t>
    <rPh sb="0" eb="4">
      <t>ネンキン</t>
    </rPh>
    <rPh sb="4" eb="8">
      <t>サンコウキンガク</t>
    </rPh>
    <phoneticPr fontId="2"/>
  </si>
  <si>
    <t>下図の　　　部分が所得金額となります。</t>
    <rPh sb="0" eb="2">
      <t>カズ</t>
    </rPh>
    <rPh sb="6" eb="8">
      <t>ブブン</t>
    </rPh>
    <rPh sb="9" eb="11">
      <t>ショトク</t>
    </rPh>
    <rPh sb="11" eb="13">
      <t>キンガク</t>
    </rPh>
    <phoneticPr fontId="2"/>
  </si>
  <si>
    <t>（事業所得や給与所得がある方は）
公的年金以外の合計所得金額
を入力してください</t>
    <rPh sb="17" eb="23">
      <t>コウテキネンキンイガイ</t>
    </rPh>
    <rPh sb="24" eb="28">
      <t>ゴウケイショトク</t>
    </rPh>
    <rPh sb="28" eb="30">
      <t>キンガク</t>
    </rPh>
    <rPh sb="32" eb="34">
      <t>ニュウリョク</t>
    </rPh>
    <phoneticPr fontId="2"/>
  </si>
  <si>
    <t>すべての公的年金等の源泉徴収票内の
支払金額の合計額を入力してください</t>
    <rPh sb="4" eb="9">
      <t>コウテキネンキントウ</t>
    </rPh>
    <rPh sb="10" eb="15">
      <t>ゲンセンチョウシュウヒョウ</t>
    </rPh>
    <rPh sb="15" eb="16">
      <t>ナイ</t>
    </rPh>
    <rPh sb="18" eb="22">
      <t>シハライキンガク</t>
    </rPh>
    <rPh sb="23" eb="25">
      <t>ゴウケイ</t>
    </rPh>
    <rPh sb="25" eb="26">
      <t>ガク</t>
    </rPh>
    <rPh sb="27" eb="29">
      <t>ニュウリョク</t>
    </rPh>
    <phoneticPr fontId="2"/>
  </si>
  <si>
    <t>試算シート記入額</t>
    <rPh sb="0" eb="2">
      <t>シサン</t>
    </rPh>
    <rPh sb="5" eb="7">
      <t>キニュウ</t>
    </rPh>
    <rPh sb="7" eb="8">
      <t>ガク</t>
    </rPh>
    <phoneticPr fontId="2"/>
  </si>
  <si>
    <t>見本③　【確定申告書】</t>
    <rPh sb="0" eb="2">
      <t>ミホン</t>
    </rPh>
    <rPh sb="5" eb="10">
      <t>カクテイシンコクショ</t>
    </rPh>
    <phoneticPr fontId="2"/>
  </si>
  <si>
    <t>令和5年１月１日時点の
ご年齢を入力してください</t>
    <rPh sb="0" eb="2">
      <t>レイワ</t>
    </rPh>
    <rPh sb="3" eb="4">
      <t>ネン</t>
    </rPh>
    <rPh sb="5" eb="6">
      <t>ガツ</t>
    </rPh>
    <rPh sb="7" eb="8">
      <t>ニチ</t>
    </rPh>
    <rPh sb="8" eb="10">
      <t>ジテン</t>
    </rPh>
    <rPh sb="13" eb="15">
      <t>ネンレイ</t>
    </rPh>
    <rPh sb="16" eb="18">
      <t>ニュウリョク</t>
    </rPh>
    <phoneticPr fontId="2"/>
  </si>
  <si>
    <t>このフローチャートを利用して、Ａ、Bのシートのうち、どのシートで試算をするか選択することができます。</t>
    <rPh sb="10" eb="12">
      <t>リヨウ</t>
    </rPh>
    <rPh sb="32" eb="34">
      <t>シサン</t>
    </rPh>
    <rPh sb="38" eb="40">
      <t>センタク</t>
    </rPh>
    <phoneticPr fontId="2"/>
  </si>
  <si>
    <t>注１：退職所得は国保税の計算上、原則非課税収入となるため、前年の所得には含まれません。</t>
    <rPh sb="0" eb="1">
      <t>チュウ</t>
    </rPh>
    <rPh sb="3" eb="5">
      <t>タイショク</t>
    </rPh>
    <rPh sb="5" eb="7">
      <t>ショトク</t>
    </rPh>
    <rPh sb="8" eb="10">
      <t>コクホ</t>
    </rPh>
    <rPh sb="10" eb="11">
      <t>ゼイ</t>
    </rPh>
    <rPh sb="12" eb="15">
      <t>ケイサンジョウ</t>
    </rPh>
    <rPh sb="16" eb="18">
      <t>ゲンソク</t>
    </rPh>
    <rPh sb="18" eb="21">
      <t>ヒカゼイ</t>
    </rPh>
    <rPh sb="21" eb="23">
      <t>シュウニュウ</t>
    </rPh>
    <rPh sb="29" eb="31">
      <t>ゼンネン</t>
    </rPh>
    <rPh sb="32" eb="34">
      <t>ショトク</t>
    </rPh>
    <rPh sb="36" eb="37">
      <t>フク</t>
    </rPh>
    <phoneticPr fontId="2"/>
  </si>
  <si>
    <t>次の表が年金所得の概算表です。緑色の枠内に金額、年齢を入力してください。</t>
    <rPh sb="0" eb="1">
      <t>ツギ</t>
    </rPh>
    <rPh sb="2" eb="3">
      <t>ヒョウ</t>
    </rPh>
    <rPh sb="4" eb="8">
      <t>ネンキンショトク</t>
    </rPh>
    <rPh sb="9" eb="12">
      <t>ガイサンヒョウ</t>
    </rPh>
    <rPh sb="15" eb="17">
      <t>ミドリイロ</t>
    </rPh>
    <rPh sb="18" eb="20">
      <t>ワクナイ</t>
    </rPh>
    <rPh sb="21" eb="23">
      <t>キンガク</t>
    </rPh>
    <rPh sb="24" eb="26">
      <t>ネンレイ</t>
    </rPh>
    <rPh sb="27" eb="29">
      <t>ニュウリョク</t>
    </rPh>
    <phoneticPr fontId="2"/>
  </si>
  <si>
    <t>※「～万円」など、数字以外の文字が記入されていると計算ができませんので、数字で記入してください。（例1000000）</t>
    <rPh sb="3" eb="5">
      <t>マンエン</t>
    </rPh>
    <rPh sb="9" eb="13">
      <t>スウジイガイ</t>
    </rPh>
    <rPh sb="14" eb="16">
      <t>モジ</t>
    </rPh>
    <rPh sb="17" eb="19">
      <t>キニュウ</t>
    </rPh>
    <rPh sb="25" eb="27">
      <t>ケイサン</t>
    </rPh>
    <rPh sb="36" eb="38">
      <t>スウジ</t>
    </rPh>
    <rPh sb="39" eb="41">
      <t>キニュウ</t>
    </rPh>
    <rPh sb="49" eb="50">
      <t>レイ</t>
    </rPh>
    <phoneticPr fontId="2"/>
  </si>
  <si>
    <t>入力された情報から公的年金の所得金額を概算すると、令和４年中の年金所得は</t>
    <rPh sb="0" eb="2">
      <t>ニュウリョク</t>
    </rPh>
    <rPh sb="5" eb="7">
      <t>ジョウホウ</t>
    </rPh>
    <rPh sb="9" eb="11">
      <t>コウテキ</t>
    </rPh>
    <rPh sb="11" eb="13">
      <t>ネンキン</t>
    </rPh>
    <rPh sb="14" eb="18">
      <t>ショトクキンガク</t>
    </rPh>
    <rPh sb="19" eb="21">
      <t>ガイサン</t>
    </rPh>
    <rPh sb="25" eb="27">
      <t>レイワ</t>
    </rPh>
    <rPh sb="28" eb="29">
      <t>ネン</t>
    </rPh>
    <rPh sb="29" eb="30">
      <t>チュウ</t>
    </rPh>
    <rPh sb="31" eb="35">
      <t>ネンキンショトク</t>
    </rPh>
    <phoneticPr fontId="2"/>
  </si>
  <si>
    <t>（※こちらの結果は概算になりますので、正確な金額については申告資料や市・県民税の通知をご確認ください）</t>
    <phoneticPr fontId="2"/>
  </si>
  <si>
    <t>下の緑枠内に世帯主と加入する人の①お名前、②年齢、③昨年1～12月までの収入情報を入力してください。</t>
    <rPh sb="0" eb="1">
      <t>シタ</t>
    </rPh>
    <rPh sb="2" eb="3">
      <t>ミドリ</t>
    </rPh>
    <rPh sb="3" eb="4">
      <t>ワク</t>
    </rPh>
    <rPh sb="4" eb="5">
      <t>ナイ</t>
    </rPh>
    <rPh sb="6" eb="9">
      <t>セタイヌシ</t>
    </rPh>
    <rPh sb="10" eb="12">
      <t>カニュウ</t>
    </rPh>
    <rPh sb="14" eb="15">
      <t>ヒト</t>
    </rPh>
    <rPh sb="18" eb="20">
      <t>ナマエ</t>
    </rPh>
    <rPh sb="22" eb="24">
      <t>ネンレイ</t>
    </rPh>
    <rPh sb="26" eb="28">
      <t>サクネン</t>
    </rPh>
    <rPh sb="32" eb="33">
      <t>ガツ</t>
    </rPh>
    <rPh sb="36" eb="38">
      <t>シュウニュウ</t>
    </rPh>
    <rPh sb="38" eb="40">
      <t>ジョウホウ</t>
    </rPh>
    <rPh sb="41" eb="43">
      <t>ニュウリョク</t>
    </rPh>
    <phoneticPr fontId="2"/>
  </si>
  <si>
    <t>給与所得、または年金所得がある方に
〇をつけてください。</t>
    <rPh sb="0" eb="2">
      <t>キュウヨ</t>
    </rPh>
    <rPh sb="2" eb="4">
      <t>ショトク</t>
    </rPh>
    <rPh sb="8" eb="10">
      <t>ネンキン</t>
    </rPh>
    <rPh sb="10" eb="12">
      <t>ショトク</t>
    </rPh>
    <rPh sb="15" eb="16">
      <t>カタ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</si>
</sst>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176" formatCode="0.0%"/>
    <numFmt numFmtId="177" formatCode="General&quot;人&quot;"/>
    <numFmt numFmtId="178" formatCode="0_);[Red]\(0\)"/>
    <numFmt numFmtId="179" formatCode="#,###&quot;円&quot;"/>
    <numFmt numFmtId="180" formatCode="#,##0.0;[Red]\-#,##0.0"/>
    <numFmt numFmtId="181" formatCode="#,##0&quot;円&quot;;[Red]\-#,##0&quot;円&quot;"/>
    <numFmt numFmtId="182" formatCode="#,##0&quot;円&quot;;[Red]\-#,##0"/>
  </numFmts>
  <fonts count="23"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1"/>
      <color theme="1"/>
      <name val="HG丸ｺﾞｼｯｸM-PRO"/>
      <family val="3"/>
      <charset val="128"/>
    </font>
    <font>
      <sz val="14"/>
      <color theme="1"/>
      <name val="HG丸ｺﾞｼｯｸM-PRO"/>
      <family val="3"/>
      <charset val="128"/>
    </font>
    <font>
      <sz val="10"/>
      <color theme="1"/>
      <name val="HG丸ｺﾞｼｯｸM-PRO"/>
      <family val="3"/>
      <charset val="128"/>
    </font>
    <font>
      <sz val="8"/>
      <color theme="1"/>
      <name val="HG丸ｺﾞｼｯｸM-PRO"/>
      <family val="3"/>
      <charset val="128"/>
    </font>
    <font>
      <b/>
      <sz val="36"/>
      <color rgb="FF00B050"/>
      <name val="HG丸ｺﾞｼｯｸM-PRO"/>
      <family val="3"/>
      <charset val="128"/>
    </font>
    <font>
      <b/>
      <sz val="36"/>
      <color rgb="FF7030A0"/>
      <name val="HG丸ｺﾞｼｯｸM-PRO"/>
      <family val="3"/>
      <charset val="128"/>
    </font>
    <font>
      <b/>
      <sz val="36"/>
      <color theme="9"/>
      <name val="HG丸ｺﾞｼｯｸM-PRO"/>
      <family val="3"/>
      <charset val="128"/>
    </font>
    <font>
      <b/>
      <sz val="36"/>
      <color theme="5"/>
      <name val="HG丸ｺﾞｼｯｸM-PRO"/>
      <family val="3"/>
      <charset val="128"/>
    </font>
    <font>
      <b/>
      <sz val="16"/>
      <color theme="1"/>
      <name val="HG丸ｺﾞｼｯｸM-PRO"/>
      <family val="3"/>
      <charset val="128"/>
    </font>
    <font>
      <b/>
      <sz val="22"/>
      <color theme="1"/>
      <name val="HG丸ｺﾞｼｯｸM-PRO"/>
      <family val="3"/>
      <charset val="128"/>
    </font>
    <font>
      <sz val="16"/>
      <color theme="1"/>
      <name val="HG丸ｺﾞｼｯｸM-PRO"/>
      <family val="3"/>
      <charset val="128"/>
    </font>
    <font>
      <b/>
      <sz val="14"/>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18"/>
      <color theme="1"/>
      <name val="ＭＳ Ｐゴシック"/>
      <family val="3"/>
      <charset val="128"/>
      <scheme val="minor"/>
    </font>
    <font>
      <sz val="10"/>
      <color theme="1"/>
      <name val="ＭＳ Ｐゴシック"/>
      <family val="3"/>
      <charset val="128"/>
      <scheme val="minor"/>
    </font>
    <font>
      <sz val="16"/>
      <color theme="1"/>
      <name val="ＭＳ Ｐゴシック"/>
      <family val="3"/>
      <charset val="128"/>
      <scheme val="minor"/>
    </font>
    <font>
      <sz val="11"/>
      <color rgb="FFFF0000"/>
      <name val="ＭＳ Ｐゴシック"/>
      <family val="3"/>
      <charset val="128"/>
      <scheme val="minor"/>
    </font>
    <font>
      <sz val="18"/>
      <color theme="1"/>
      <name val="HG丸ｺﾞｼｯｸM-PRO"/>
      <family val="3"/>
      <charset val="128"/>
    </font>
  </fonts>
  <fills count="13">
    <fill>
      <patternFill patternType="none"/>
    </fill>
    <fill>
      <patternFill patternType="gray125"/>
    </fill>
    <fill>
      <patternFill patternType="solid">
        <fgColor theme="6" tint="0.79998168889431442"/>
        <bgColor indexed="64"/>
      </patternFill>
    </fill>
    <fill>
      <patternFill patternType="solid">
        <fgColor theme="6" tint="0.59999389629810485"/>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9" tint="0.79998168889431442"/>
        <bgColor indexed="64"/>
      </patternFill>
    </fill>
    <fill>
      <patternFill patternType="solid">
        <fgColor theme="0" tint="-0.249977111117893"/>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ck">
        <color rgb="FF00B050"/>
      </top>
      <bottom style="thin">
        <color indexed="64"/>
      </bottom>
      <diagonal/>
    </border>
    <border>
      <left style="thin">
        <color indexed="64"/>
      </left>
      <right style="thick">
        <color rgb="FF00B050"/>
      </right>
      <top style="thin">
        <color indexed="64"/>
      </top>
      <bottom style="thin">
        <color indexed="64"/>
      </bottom>
      <diagonal/>
    </border>
    <border>
      <left/>
      <right/>
      <top style="thick">
        <color rgb="FF00B050"/>
      </top>
      <bottom/>
      <diagonal/>
    </border>
    <border>
      <left/>
      <right style="thick">
        <color rgb="FF00B050"/>
      </right>
      <top style="thick">
        <color rgb="FF00B050"/>
      </top>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style="thin">
        <color indexed="64"/>
      </top>
      <bottom style="double">
        <color indexed="64"/>
      </bottom>
      <diagonal/>
    </border>
    <border>
      <left/>
      <right/>
      <top/>
      <bottom style="medium">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style="double">
        <color indexed="64"/>
      </bottom>
      <diagonal/>
    </border>
    <border>
      <left style="thick">
        <color rgb="FF00B050"/>
      </left>
      <right/>
      <top style="thick">
        <color rgb="FF00B050"/>
      </top>
      <bottom/>
      <diagonal/>
    </border>
    <border>
      <left style="thick">
        <color rgb="FF00B050"/>
      </left>
      <right/>
      <top/>
      <bottom style="thick">
        <color rgb="FF00B050"/>
      </bottom>
      <diagonal/>
    </border>
    <border>
      <left/>
      <right/>
      <top/>
      <bottom style="double">
        <color indexed="64"/>
      </bottom>
      <diagonal/>
    </border>
    <border>
      <left/>
      <right style="thin">
        <color indexed="64"/>
      </right>
      <top/>
      <bottom/>
      <diagonal/>
    </border>
    <border>
      <left style="thin">
        <color indexed="64"/>
      </left>
      <right style="medium">
        <color indexed="64"/>
      </right>
      <top style="thin">
        <color indexed="64"/>
      </top>
      <bottom/>
      <diagonal/>
    </border>
    <border>
      <left style="thick">
        <color rgb="FF00B050"/>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ck">
        <color rgb="FF00B050"/>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rgb="FF00B050"/>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rgb="FF00B050"/>
      </left>
      <right style="thin">
        <color indexed="64"/>
      </right>
      <top/>
      <bottom style="thick">
        <color rgb="FF00B050"/>
      </bottom>
      <diagonal/>
    </border>
    <border>
      <left style="thin">
        <color indexed="64"/>
      </left>
      <right style="thin">
        <color indexed="64"/>
      </right>
      <top/>
      <bottom style="thick">
        <color rgb="FF00B050"/>
      </bottom>
      <diagonal/>
    </border>
    <border>
      <left style="thin">
        <color indexed="64"/>
      </left>
      <right style="thick">
        <color rgb="FF00B050"/>
      </right>
      <top/>
      <bottom style="thick">
        <color rgb="FF00B050"/>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hair">
        <color indexed="64"/>
      </top>
      <bottom style="hair">
        <color indexed="64"/>
      </bottom>
      <diagonal/>
    </border>
    <border>
      <left style="medium">
        <color indexed="64"/>
      </left>
      <right/>
      <top/>
      <bottom style="double">
        <color indexed="64"/>
      </bottom>
      <diagonal/>
    </border>
    <border>
      <left style="medium">
        <color indexed="64"/>
      </left>
      <right style="thin">
        <color indexed="64"/>
      </right>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ck">
        <color rgb="FF00B050"/>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ck">
        <color rgb="FF00B050"/>
      </right>
      <top style="thick">
        <color rgb="FF00B050"/>
      </top>
      <bottom style="hair">
        <color indexed="64"/>
      </bottom>
      <diagonal/>
    </border>
    <border>
      <left style="thick">
        <color rgb="FF00B050"/>
      </left>
      <right style="thin">
        <color indexed="64"/>
      </right>
      <top style="double">
        <color indexed="64"/>
      </top>
      <bottom style="hair">
        <color indexed="64"/>
      </bottom>
      <diagonal/>
    </border>
    <border>
      <left style="thick">
        <color rgb="FF00B050"/>
      </left>
      <right style="thin">
        <color indexed="64"/>
      </right>
      <top/>
      <bottom style="double">
        <color indexed="64"/>
      </bottom>
      <diagonal/>
    </border>
    <border>
      <left/>
      <right/>
      <top style="double">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rgb="FFFF0000"/>
      </right>
      <top style="thin">
        <color indexed="64"/>
      </top>
      <bottom style="thin">
        <color indexed="64"/>
      </bottom>
      <diagonal/>
    </border>
    <border diagonalUp="1">
      <left style="thin">
        <color indexed="64"/>
      </left>
      <right style="medium">
        <color rgb="FFFF0000"/>
      </right>
      <top style="thin">
        <color indexed="64"/>
      </top>
      <bottom style="thin">
        <color indexed="64"/>
      </bottom>
      <diagonal style="thin">
        <color indexed="64"/>
      </diagonal>
    </border>
    <border>
      <left style="thick">
        <color rgb="FF92D050"/>
      </left>
      <right style="thin">
        <color indexed="64"/>
      </right>
      <top style="thin">
        <color indexed="64"/>
      </top>
      <bottom style="thin">
        <color indexed="64"/>
      </bottom>
      <diagonal/>
    </border>
    <border>
      <left style="thick">
        <color rgb="FF92D050"/>
      </left>
      <right/>
      <top style="thick">
        <color rgb="FF92D050"/>
      </top>
      <bottom style="thick">
        <color rgb="FF92D050"/>
      </bottom>
      <diagonal/>
    </border>
    <border>
      <left/>
      <right/>
      <top style="thick">
        <color rgb="FF92D050"/>
      </top>
      <bottom style="thick">
        <color rgb="FF92D050"/>
      </bottom>
      <diagonal/>
    </border>
    <border>
      <left/>
      <right style="thick">
        <color rgb="FF92D050"/>
      </right>
      <top style="thick">
        <color rgb="FF92D050"/>
      </top>
      <bottom style="thick">
        <color rgb="FF92D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92D050"/>
      </left>
      <right style="medium">
        <color theme="6"/>
      </right>
      <top style="thick">
        <color rgb="FF92D050"/>
      </top>
      <bottom style="medium">
        <color theme="6"/>
      </bottom>
      <diagonal/>
    </border>
    <border>
      <left style="medium">
        <color theme="6"/>
      </left>
      <right style="thick">
        <color rgb="FF92D050"/>
      </right>
      <top style="thick">
        <color rgb="FF92D050"/>
      </top>
      <bottom style="medium">
        <color theme="6"/>
      </bottom>
      <diagonal/>
    </border>
    <border>
      <left style="thick">
        <color rgb="FF92D050"/>
      </left>
      <right style="medium">
        <color theme="6"/>
      </right>
      <top style="medium">
        <color theme="6"/>
      </top>
      <bottom style="medium">
        <color theme="6"/>
      </bottom>
      <diagonal/>
    </border>
    <border>
      <left style="medium">
        <color theme="6"/>
      </left>
      <right style="thick">
        <color rgb="FF92D050"/>
      </right>
      <top style="medium">
        <color theme="6"/>
      </top>
      <bottom style="medium">
        <color theme="6"/>
      </bottom>
      <diagonal/>
    </border>
    <border>
      <left style="thick">
        <color rgb="FF92D050"/>
      </left>
      <right style="medium">
        <color theme="6"/>
      </right>
      <top style="medium">
        <color theme="6"/>
      </top>
      <bottom style="thick">
        <color rgb="FF92D050"/>
      </bottom>
      <diagonal/>
    </border>
    <border>
      <left style="medium">
        <color theme="6"/>
      </left>
      <right style="thick">
        <color rgb="FF92D050"/>
      </right>
      <top style="medium">
        <color theme="6"/>
      </top>
      <bottom style="thick">
        <color rgb="FF92D050"/>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267">
    <xf numFmtId="0" fontId="0" fillId="0" borderId="0" xfId="0">
      <alignment vertical="center"/>
    </xf>
    <xf numFmtId="0" fontId="4" fillId="2" borderId="0" xfId="0" applyFont="1" applyFill="1">
      <alignment vertical="center"/>
    </xf>
    <xf numFmtId="0" fontId="3" fillId="2" borderId="0" xfId="0" applyFont="1" applyFill="1">
      <alignment vertical="center"/>
    </xf>
    <xf numFmtId="38" fontId="3" fillId="0" borderId="1" xfId="1" applyFont="1" applyFill="1" applyBorder="1">
      <alignment vertical="center"/>
    </xf>
    <xf numFmtId="0" fontId="5" fillId="0" borderId="1" xfId="0" applyFont="1" applyBorder="1" applyAlignment="1">
      <alignment horizontal="center" vertical="center"/>
    </xf>
    <xf numFmtId="0" fontId="5" fillId="0" borderId="5" xfId="0" applyFont="1" applyBorder="1" applyAlignment="1">
      <alignment horizontal="center" vertical="center"/>
    </xf>
    <xf numFmtId="38" fontId="5" fillId="0" borderId="7" xfId="1" applyFont="1" applyFill="1" applyBorder="1">
      <alignment vertical="center"/>
    </xf>
    <xf numFmtId="0" fontId="5" fillId="0" borderId="7" xfId="0" applyFont="1" applyBorder="1" applyAlignment="1">
      <alignment horizontal="center" vertical="center"/>
    </xf>
    <xf numFmtId="0" fontId="5" fillId="0" borderId="7" xfId="0" applyFont="1" applyBorder="1">
      <alignment vertical="center"/>
    </xf>
    <xf numFmtId="0" fontId="5" fillId="0" borderId="6" xfId="0" applyFont="1" applyBorder="1">
      <alignment vertical="center"/>
    </xf>
    <xf numFmtId="0" fontId="5" fillId="2" borderId="0" xfId="0" applyFont="1" applyFill="1">
      <alignment vertical="center"/>
    </xf>
    <xf numFmtId="0" fontId="5"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 xfId="0" applyFont="1" applyBorder="1">
      <alignment vertical="center"/>
    </xf>
    <xf numFmtId="38" fontId="5" fillId="0" borderId="1" xfId="1" applyFont="1" applyFill="1" applyBorder="1">
      <alignment vertical="center"/>
    </xf>
    <xf numFmtId="177" fontId="5" fillId="0" borderId="1" xfId="0" applyNumberFormat="1" applyFont="1" applyBorder="1" applyAlignment="1">
      <alignment horizontal="center" vertical="center"/>
    </xf>
    <xf numFmtId="0" fontId="3" fillId="3" borderId="0" xfId="0" applyFont="1" applyFill="1">
      <alignment vertical="center"/>
    </xf>
    <xf numFmtId="0" fontId="6" fillId="3" borderId="0" xfId="0" applyFont="1" applyFill="1">
      <alignment vertical="center"/>
    </xf>
    <xf numFmtId="0" fontId="7" fillId="3" borderId="11" xfId="0" applyFont="1" applyFill="1" applyBorder="1" applyAlignment="1">
      <alignment horizontal="center" vertical="center"/>
    </xf>
    <xf numFmtId="0" fontId="8" fillId="3" borderId="11" xfId="0" applyFont="1" applyFill="1" applyBorder="1" applyAlignment="1">
      <alignment horizontal="center" vertical="center"/>
    </xf>
    <xf numFmtId="0" fontId="11" fillId="2" borderId="0" xfId="0" applyFont="1" applyFill="1">
      <alignment vertical="center"/>
    </xf>
    <xf numFmtId="0" fontId="4" fillId="3" borderId="0" xfId="0" applyFont="1" applyFill="1">
      <alignment vertical="center"/>
    </xf>
    <xf numFmtId="0" fontId="12" fillId="3" borderId="0" xfId="0" applyFont="1" applyFill="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178" fontId="16" fillId="0" borderId="0" xfId="0" applyNumberFormat="1" applyFont="1">
      <alignment vertical="center"/>
    </xf>
    <xf numFmtId="0" fontId="16" fillId="0" borderId="8" xfId="0" applyFont="1" applyBorder="1" applyAlignment="1">
      <alignment horizontal="center" vertical="center"/>
    </xf>
    <xf numFmtId="0" fontId="16" fillId="2" borderId="18" xfId="0" applyFont="1" applyFill="1" applyBorder="1" applyAlignment="1">
      <alignment horizontal="center" vertical="center"/>
    </xf>
    <xf numFmtId="0" fontId="16" fillId="2" borderId="1" xfId="0" applyFont="1" applyFill="1" applyBorder="1" applyAlignment="1">
      <alignment horizontal="center" vertical="center"/>
    </xf>
    <xf numFmtId="0" fontId="16" fillId="6" borderId="1"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19" xfId="0" applyFont="1" applyFill="1" applyBorder="1" applyAlignment="1">
      <alignment horizontal="center" vertical="center"/>
    </xf>
    <xf numFmtId="0" fontId="16" fillId="0" borderId="1" xfId="0" applyFont="1" applyBorder="1" applyAlignment="1">
      <alignment horizontal="center" vertical="center"/>
    </xf>
    <xf numFmtId="176" fontId="16" fillId="0" borderId="5" xfId="2" applyNumberFormat="1" applyFont="1" applyFill="1" applyBorder="1">
      <alignment vertical="center"/>
    </xf>
    <xf numFmtId="0" fontId="16" fillId="0" borderId="9" xfId="0" applyFont="1" applyBorder="1">
      <alignment vertical="center"/>
    </xf>
    <xf numFmtId="178" fontId="16" fillId="0" borderId="0" xfId="0" applyNumberFormat="1" applyFont="1" applyAlignment="1">
      <alignment vertical="center" shrinkToFit="1"/>
    </xf>
    <xf numFmtId="176" fontId="16" fillId="2" borderId="58" xfId="0" applyNumberFormat="1" applyFont="1" applyFill="1" applyBorder="1">
      <alignment vertical="center"/>
    </xf>
    <xf numFmtId="176" fontId="16" fillId="6" borderId="37" xfId="0" applyNumberFormat="1" applyFont="1" applyFill="1" applyBorder="1">
      <alignment vertical="center"/>
    </xf>
    <xf numFmtId="176" fontId="16" fillId="5" borderId="34" xfId="0" applyNumberFormat="1" applyFont="1" applyFill="1" applyBorder="1">
      <alignment vertical="center"/>
    </xf>
    <xf numFmtId="6" fontId="16" fillId="0" borderId="5" xfId="1" applyNumberFormat="1" applyFont="1" applyFill="1" applyBorder="1">
      <alignment vertical="center"/>
    </xf>
    <xf numFmtId="6" fontId="16" fillId="0" borderId="9" xfId="1" applyNumberFormat="1" applyFont="1" applyFill="1" applyBorder="1">
      <alignment vertical="center"/>
    </xf>
    <xf numFmtId="0" fontId="16" fillId="0" borderId="14" xfId="0" applyFont="1" applyBorder="1">
      <alignment vertical="center"/>
    </xf>
    <xf numFmtId="38" fontId="16" fillId="9" borderId="73" xfId="1" applyFont="1" applyFill="1" applyBorder="1" applyAlignment="1" applyProtection="1">
      <alignment vertical="center"/>
    </xf>
    <xf numFmtId="38" fontId="16" fillId="9" borderId="42" xfId="1" applyFont="1" applyFill="1" applyBorder="1" applyAlignment="1">
      <alignment vertical="center"/>
    </xf>
    <xf numFmtId="38" fontId="16" fillId="9" borderId="70" xfId="0" applyNumberFormat="1" applyFont="1" applyFill="1" applyBorder="1">
      <alignment vertical="center"/>
    </xf>
    <xf numFmtId="38" fontId="16" fillId="2" borderId="59" xfId="1" applyFont="1" applyFill="1" applyBorder="1" applyAlignment="1">
      <alignment vertical="center"/>
    </xf>
    <xf numFmtId="38" fontId="16" fillId="2" borderId="41" xfId="1" applyFont="1" applyFill="1" applyBorder="1" applyAlignment="1">
      <alignment vertical="center"/>
    </xf>
    <xf numFmtId="38" fontId="16" fillId="6" borderId="41" xfId="1" applyFont="1" applyFill="1" applyBorder="1" applyAlignment="1">
      <alignment vertical="center"/>
    </xf>
    <xf numFmtId="38" fontId="16" fillId="5" borderId="41" xfId="1" applyFont="1" applyFill="1" applyBorder="1" applyAlignment="1">
      <alignment vertical="center"/>
    </xf>
    <xf numFmtId="38" fontId="16" fillId="5" borderId="60" xfId="1" applyFont="1" applyFill="1" applyBorder="1" applyAlignment="1">
      <alignment vertical="center"/>
    </xf>
    <xf numFmtId="38" fontId="16" fillId="9" borderId="43" xfId="1" applyFont="1" applyFill="1" applyBorder="1" applyAlignment="1" applyProtection="1">
      <alignment vertical="center"/>
    </xf>
    <xf numFmtId="38" fontId="16" fillId="9" borderId="46" xfId="1" applyFont="1" applyFill="1" applyBorder="1" applyAlignment="1">
      <alignment vertical="center"/>
    </xf>
    <xf numFmtId="38" fontId="16" fillId="9" borderId="57" xfId="0" applyNumberFormat="1" applyFont="1" applyFill="1" applyBorder="1">
      <alignment vertical="center"/>
    </xf>
    <xf numFmtId="38" fontId="16" fillId="2" borderId="61" xfId="1" applyFont="1" applyFill="1" applyBorder="1" applyAlignment="1">
      <alignment vertical="center"/>
    </xf>
    <xf numFmtId="38" fontId="16" fillId="2" borderId="44" xfId="1" applyFont="1" applyFill="1" applyBorder="1" applyAlignment="1">
      <alignment vertical="center"/>
    </xf>
    <xf numFmtId="38" fontId="16" fillId="6" borderId="44" xfId="1" applyFont="1" applyFill="1" applyBorder="1" applyAlignment="1">
      <alignment vertical="center"/>
    </xf>
    <xf numFmtId="38" fontId="16" fillId="5" borderId="44" xfId="1" applyFont="1" applyFill="1" applyBorder="1" applyAlignment="1">
      <alignment vertical="center"/>
    </xf>
    <xf numFmtId="38" fontId="16" fillId="5" borderId="47" xfId="1" applyFont="1" applyFill="1" applyBorder="1" applyAlignment="1">
      <alignment vertical="center"/>
    </xf>
    <xf numFmtId="0" fontId="16" fillId="0" borderId="5" xfId="0" applyFont="1" applyBorder="1">
      <alignment vertical="center"/>
    </xf>
    <xf numFmtId="0" fontId="16" fillId="0" borderId="34" xfId="0" applyFont="1" applyBorder="1">
      <alignment vertical="center"/>
    </xf>
    <xf numFmtId="38" fontId="16" fillId="9" borderId="74" xfId="1" applyFont="1" applyFill="1" applyBorder="1" applyAlignment="1" applyProtection="1">
      <alignment vertical="center"/>
    </xf>
    <xf numFmtId="38" fontId="16" fillId="9" borderId="51" xfId="1" applyFont="1" applyFill="1" applyBorder="1" applyAlignment="1">
      <alignment vertical="center"/>
    </xf>
    <xf numFmtId="38" fontId="16" fillId="9" borderId="54" xfId="0" applyNumberFormat="1" applyFont="1" applyFill="1" applyBorder="1">
      <alignment vertical="center"/>
    </xf>
    <xf numFmtId="38" fontId="16" fillId="2" borderId="62" xfId="1" applyFont="1" applyFill="1" applyBorder="1" applyAlignment="1">
      <alignment vertical="center"/>
    </xf>
    <xf numFmtId="38" fontId="16" fillId="2" borderId="53" xfId="1" applyFont="1" applyFill="1" applyBorder="1" applyAlignment="1">
      <alignment vertical="center"/>
    </xf>
    <xf numFmtId="38" fontId="16" fillId="6" borderId="53" xfId="1" applyFont="1" applyFill="1" applyBorder="1" applyAlignment="1">
      <alignment vertical="center"/>
    </xf>
    <xf numFmtId="38" fontId="16" fillId="5" borderId="53" xfId="1" applyFont="1" applyFill="1" applyBorder="1" applyAlignment="1">
      <alignment vertical="center"/>
    </xf>
    <xf numFmtId="38" fontId="16" fillId="5" borderId="52" xfId="1" applyFont="1" applyFill="1" applyBorder="1" applyAlignment="1">
      <alignment vertical="center"/>
    </xf>
    <xf numFmtId="38" fontId="16" fillId="9" borderId="56" xfId="1" applyFont="1" applyFill="1" applyBorder="1" applyAlignment="1">
      <alignment vertical="center"/>
    </xf>
    <xf numFmtId="38" fontId="16" fillId="9" borderId="4" xfId="1" applyFont="1" applyFill="1" applyBorder="1" applyAlignment="1">
      <alignment vertical="center"/>
    </xf>
    <xf numFmtId="38" fontId="16" fillId="9" borderId="14" xfId="0" applyNumberFormat="1" applyFont="1" applyFill="1" applyBorder="1">
      <alignment vertical="center"/>
    </xf>
    <xf numFmtId="0" fontId="16" fillId="0" borderId="0" xfId="0" applyFont="1" applyAlignment="1">
      <alignment horizontal="right" vertical="center"/>
    </xf>
    <xf numFmtId="6" fontId="16" fillId="0" borderId="10" xfId="1" applyNumberFormat="1" applyFont="1" applyFill="1" applyBorder="1">
      <alignment vertical="center"/>
    </xf>
    <xf numFmtId="0" fontId="19" fillId="0" borderId="1" xfId="0" applyFont="1" applyBorder="1" applyAlignment="1">
      <alignment horizontal="center" vertical="center"/>
    </xf>
    <xf numFmtId="0" fontId="16" fillId="0" borderId="0" xfId="0" applyFont="1" applyAlignment="1">
      <alignment horizontal="center" vertical="center" wrapText="1"/>
    </xf>
    <xf numFmtId="6" fontId="19" fillId="0" borderId="1" xfId="1" applyNumberFormat="1" applyFont="1" applyFill="1" applyBorder="1">
      <alignment vertical="center"/>
    </xf>
    <xf numFmtId="0" fontId="18" fillId="0" borderId="0" xfId="0" applyFont="1">
      <alignment vertical="center"/>
    </xf>
    <xf numFmtId="0" fontId="16" fillId="0" borderId="0" xfId="0" applyFont="1" applyAlignment="1">
      <alignment horizontal="center" vertical="center"/>
    </xf>
    <xf numFmtId="0" fontId="19" fillId="0" borderId="0" xfId="0" applyFont="1" applyAlignment="1">
      <alignment horizontal="right" vertical="top"/>
    </xf>
    <xf numFmtId="0" fontId="21" fillId="0" borderId="11" xfId="0" applyFont="1" applyBorder="1" applyAlignment="1">
      <alignment horizontal="center" vertical="center"/>
    </xf>
    <xf numFmtId="5" fontId="16" fillId="0" borderId="0" xfId="0" applyNumberFormat="1" applyFont="1">
      <alignment vertical="center"/>
    </xf>
    <xf numFmtId="5" fontId="16" fillId="0" borderId="0" xfId="0" applyNumberFormat="1" applyFont="1" applyAlignment="1">
      <alignment horizontal="center" vertical="center"/>
    </xf>
    <xf numFmtId="6" fontId="16" fillId="0" borderId="0" xfId="1" applyNumberFormat="1" applyFont="1" applyFill="1" applyBorder="1">
      <alignment vertical="center"/>
    </xf>
    <xf numFmtId="0" fontId="17" fillId="0" borderId="0" xfId="0" applyFont="1">
      <alignment vertical="center"/>
    </xf>
    <xf numFmtId="0" fontId="16" fillId="0" borderId="0" xfId="0" applyFont="1" applyAlignment="1">
      <alignment vertical="center" wrapText="1"/>
    </xf>
    <xf numFmtId="0" fontId="17" fillId="10" borderId="0" xfId="0" applyFont="1" applyFill="1">
      <alignment vertical="center"/>
    </xf>
    <xf numFmtId="0" fontId="16" fillId="10" borderId="0" xfId="0" applyFont="1" applyFill="1">
      <alignment vertical="center"/>
    </xf>
    <xf numFmtId="179" fontId="16" fillId="2" borderId="28" xfId="0" applyNumberFormat="1" applyFont="1" applyFill="1" applyBorder="1">
      <alignment vertical="center"/>
    </xf>
    <xf numFmtId="179" fontId="16" fillId="6" borderId="34" xfId="0" applyNumberFormat="1" applyFont="1" applyFill="1" applyBorder="1">
      <alignment vertical="center"/>
    </xf>
    <xf numFmtId="179" fontId="16" fillId="5" borderId="30" xfId="0" applyNumberFormat="1" applyFont="1" applyFill="1" applyBorder="1">
      <alignment vertical="center"/>
    </xf>
    <xf numFmtId="0" fontId="16" fillId="7" borderId="22" xfId="0" applyFont="1" applyFill="1" applyBorder="1" applyAlignment="1">
      <alignment horizontal="center" vertical="center"/>
    </xf>
    <xf numFmtId="0" fontId="16" fillId="7" borderId="5" xfId="0" applyFont="1" applyFill="1" applyBorder="1" applyAlignment="1">
      <alignment horizontal="center" vertical="center"/>
    </xf>
    <xf numFmtId="0" fontId="16" fillId="7" borderId="1" xfId="0" applyFont="1" applyFill="1" applyBorder="1" applyAlignment="1">
      <alignment horizontal="center" vertical="center"/>
    </xf>
    <xf numFmtId="0" fontId="16" fillId="0" borderId="75" xfId="0" applyFont="1" applyBorder="1">
      <alignment vertical="center"/>
    </xf>
    <xf numFmtId="0" fontId="16" fillId="0" borderId="24" xfId="0" applyFont="1" applyBorder="1">
      <alignment vertical="center"/>
    </xf>
    <xf numFmtId="0" fontId="16" fillId="0" borderId="23" xfId="0" applyFont="1" applyBorder="1">
      <alignment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38" fontId="3" fillId="2" borderId="0" xfId="1" applyFont="1" applyFill="1">
      <alignment vertical="center"/>
    </xf>
    <xf numFmtId="38" fontId="3" fillId="2" borderId="0" xfId="1" applyFont="1" applyFill="1" applyAlignment="1">
      <alignment vertical="center"/>
    </xf>
    <xf numFmtId="38" fontId="3" fillId="0" borderId="1" xfId="1" applyFont="1" applyFill="1" applyBorder="1" applyAlignment="1">
      <alignment vertical="center"/>
    </xf>
    <xf numFmtId="38" fontId="3" fillId="4" borderId="1" xfId="1" applyFont="1" applyFill="1" applyBorder="1" applyAlignment="1">
      <alignment vertical="center"/>
    </xf>
    <xf numFmtId="0" fontId="21" fillId="0" borderId="24" xfId="0" applyFont="1" applyBorder="1">
      <alignment vertical="center"/>
    </xf>
    <xf numFmtId="38" fontId="3" fillId="0" borderId="2" xfId="1" applyFont="1" applyFill="1" applyBorder="1" applyAlignment="1">
      <alignment vertical="center"/>
    </xf>
    <xf numFmtId="176" fontId="16" fillId="0" borderId="1" xfId="2" applyNumberFormat="1" applyFont="1" applyFill="1" applyBorder="1">
      <alignment vertical="center"/>
    </xf>
    <xf numFmtId="6" fontId="16" fillId="0" borderId="1" xfId="1" applyNumberFormat="1" applyFont="1" applyFill="1" applyBorder="1">
      <alignment vertical="center"/>
    </xf>
    <xf numFmtId="38" fontId="3" fillId="8" borderId="76" xfId="1" applyFont="1" applyFill="1" applyBorder="1">
      <alignment vertical="center"/>
    </xf>
    <xf numFmtId="38" fontId="3" fillId="8" borderId="77" xfId="1" applyFont="1" applyFill="1" applyBorder="1">
      <alignment vertical="center"/>
    </xf>
    <xf numFmtId="176" fontId="16" fillId="0" borderId="79" xfId="2" applyNumberFormat="1" applyFont="1" applyFill="1" applyBorder="1">
      <alignment vertical="center"/>
    </xf>
    <xf numFmtId="6" fontId="16" fillId="0" borderId="79" xfId="1" applyNumberFormat="1" applyFont="1" applyFill="1" applyBorder="1">
      <alignment vertical="center"/>
    </xf>
    <xf numFmtId="40" fontId="3" fillId="4" borderId="1" xfId="1" applyNumberFormat="1" applyFont="1" applyFill="1" applyBorder="1" applyAlignment="1">
      <alignment vertical="center"/>
    </xf>
    <xf numFmtId="0" fontId="16" fillId="0" borderId="40" xfId="0" applyFont="1" applyBorder="1" applyAlignment="1" applyProtection="1">
      <alignment horizontal="center" vertical="center" shrinkToFit="1"/>
      <protection locked="0"/>
    </xf>
    <xf numFmtId="0" fontId="16" fillId="0" borderId="41" xfId="0" applyFont="1" applyBorder="1" applyAlignment="1" applyProtection="1">
      <alignment horizontal="center" vertical="center" shrinkToFit="1"/>
      <protection locked="0"/>
    </xf>
    <xf numFmtId="38" fontId="16" fillId="0" borderId="72" xfId="1" applyFont="1" applyFill="1" applyBorder="1" applyAlignment="1" applyProtection="1">
      <alignment horizontal="center" vertical="center" shrinkToFit="1"/>
      <protection locked="0"/>
    </xf>
    <xf numFmtId="0" fontId="16" fillId="0" borderId="43" xfId="0" applyFont="1" applyBorder="1" applyAlignment="1" applyProtection="1">
      <alignment horizontal="center" vertical="center" shrinkToFit="1"/>
      <protection locked="0"/>
    </xf>
    <xf numFmtId="0" fontId="16" fillId="0" borderId="44" xfId="0" applyFont="1" applyBorder="1" applyAlignment="1" applyProtection="1">
      <alignment horizontal="center" vertical="center" shrinkToFit="1"/>
      <protection locked="0"/>
    </xf>
    <xf numFmtId="38" fontId="16" fillId="0" borderId="45" xfId="1" applyFont="1" applyFill="1" applyBorder="1" applyAlignment="1" applyProtection="1">
      <alignment horizontal="center" vertical="center" shrinkToFit="1"/>
      <protection locked="0"/>
    </xf>
    <xf numFmtId="0" fontId="16" fillId="0" borderId="48" xfId="0" applyFont="1" applyBorder="1" applyAlignment="1" applyProtection="1">
      <alignment horizontal="center" vertical="center" shrinkToFit="1"/>
      <protection locked="0"/>
    </xf>
    <xf numFmtId="0" fontId="16" fillId="0" borderId="49" xfId="0" applyFont="1" applyBorder="1" applyAlignment="1" applyProtection="1">
      <alignment horizontal="center" vertical="center" shrinkToFit="1"/>
      <protection locked="0"/>
    </xf>
    <xf numFmtId="38" fontId="16" fillId="0" borderId="50" xfId="1" applyFont="1" applyFill="1" applyBorder="1" applyAlignment="1" applyProtection="1">
      <alignment horizontal="center" vertical="center" shrinkToFit="1"/>
      <protection locked="0"/>
    </xf>
    <xf numFmtId="38" fontId="16" fillId="0" borderId="78" xfId="1" applyFont="1" applyFill="1" applyBorder="1">
      <alignment vertical="center"/>
    </xf>
    <xf numFmtId="38" fontId="16" fillId="0" borderId="7" xfId="1" applyFont="1" applyFill="1" applyBorder="1">
      <alignment vertical="center"/>
    </xf>
    <xf numFmtId="0" fontId="9" fillId="3" borderId="0" xfId="0" applyFont="1" applyFill="1" applyAlignment="1">
      <alignment horizontal="center" vertical="center"/>
    </xf>
    <xf numFmtId="0" fontId="10" fillId="3" borderId="0" xfId="0" applyFont="1" applyFill="1" applyAlignment="1">
      <alignment horizontal="center" vertical="center"/>
    </xf>
    <xf numFmtId="38" fontId="3" fillId="0" borderId="5" xfId="1" applyFont="1" applyFill="1" applyBorder="1" applyAlignment="1">
      <alignment vertical="center"/>
    </xf>
    <xf numFmtId="38" fontId="3" fillId="0" borderId="7" xfId="1" applyFont="1" applyFill="1" applyBorder="1" applyAlignment="1">
      <alignment vertical="center"/>
    </xf>
    <xf numFmtId="38" fontId="3" fillId="0" borderId="6" xfId="1" applyFont="1" applyFill="1" applyBorder="1" applyAlignment="1">
      <alignment vertical="center"/>
    </xf>
    <xf numFmtId="38" fontId="3" fillId="0" borderId="1" xfId="1" applyFont="1" applyFill="1" applyBorder="1" applyAlignment="1">
      <alignment vertical="center" shrinkToFit="1"/>
    </xf>
    <xf numFmtId="0" fontId="16" fillId="0" borderId="70" xfId="0" applyFont="1" applyBorder="1" applyAlignment="1" applyProtection="1">
      <alignment horizontal="center" vertical="center" shrinkToFit="1"/>
      <protection locked="0"/>
    </xf>
    <xf numFmtId="0" fontId="16" fillId="0" borderId="57" xfId="0" applyFont="1" applyBorder="1" applyAlignment="1" applyProtection="1">
      <alignment horizontal="center" vertical="center" shrinkToFit="1"/>
      <protection locked="0"/>
    </xf>
    <xf numFmtId="0" fontId="16" fillId="0" borderId="69" xfId="0" applyFont="1" applyBorder="1" applyAlignment="1" applyProtection="1">
      <alignment horizontal="center" vertical="center" shrinkToFit="1"/>
      <protection locked="0"/>
    </xf>
    <xf numFmtId="6" fontId="19" fillId="0" borderId="0" xfId="1" applyNumberFormat="1" applyFont="1" applyFill="1" applyBorder="1">
      <alignment vertical="center"/>
    </xf>
    <xf numFmtId="0" fontId="19" fillId="0" borderId="0" xfId="0" applyFont="1" applyAlignment="1">
      <alignment horizontal="center" vertical="center"/>
    </xf>
    <xf numFmtId="0" fontId="13" fillId="2" borderId="0" xfId="0" applyFont="1" applyFill="1">
      <alignment vertical="center"/>
    </xf>
    <xf numFmtId="177" fontId="16" fillId="0" borderId="78" xfId="1" applyNumberFormat="1" applyFont="1" applyFill="1" applyBorder="1">
      <alignment vertical="center"/>
    </xf>
    <xf numFmtId="177" fontId="16" fillId="0" borderId="79" xfId="1" applyNumberFormat="1" applyFont="1" applyFill="1" applyBorder="1">
      <alignment vertical="center"/>
    </xf>
    <xf numFmtId="177" fontId="16" fillId="0" borderId="79" xfId="2" applyNumberFormat="1" applyFont="1" applyFill="1" applyBorder="1">
      <alignment vertical="center"/>
    </xf>
    <xf numFmtId="177" fontId="16" fillId="0" borderId="7" xfId="1" applyNumberFormat="1" applyFont="1" applyFill="1" applyBorder="1">
      <alignment vertical="center"/>
    </xf>
    <xf numFmtId="38" fontId="0" fillId="9" borderId="74" xfId="1" applyFont="1" applyFill="1" applyBorder="1" applyAlignment="1" applyProtection="1">
      <alignment vertical="center"/>
    </xf>
    <xf numFmtId="0" fontId="3" fillId="4" borderId="6" xfId="0" applyFont="1" applyFill="1" applyBorder="1">
      <alignment vertical="center"/>
    </xf>
    <xf numFmtId="0" fontId="3" fillId="4" borderId="80" xfId="0" applyFont="1" applyFill="1" applyBorder="1">
      <alignment vertical="center"/>
    </xf>
    <xf numFmtId="182" fontId="3" fillId="2" borderId="0" xfId="1" applyNumberFormat="1" applyFont="1" applyFill="1" applyBorder="1" applyAlignment="1">
      <alignment horizontal="center" vertical="center"/>
    </xf>
    <xf numFmtId="0" fontId="3" fillId="4" borderId="1" xfId="0" applyFont="1" applyFill="1" applyBorder="1">
      <alignment vertical="center"/>
    </xf>
    <xf numFmtId="0" fontId="3" fillId="4" borderId="1" xfId="0" applyFont="1" applyFill="1" applyBorder="1" applyAlignment="1">
      <alignment horizontal="right" vertical="center"/>
    </xf>
    <xf numFmtId="0" fontId="3" fillId="2" borderId="1" xfId="0" applyFont="1" applyFill="1" applyBorder="1">
      <alignment vertical="center"/>
    </xf>
    <xf numFmtId="38" fontId="3" fillId="12" borderId="1" xfId="1" applyFont="1" applyFill="1" applyBorder="1" applyAlignment="1">
      <alignment vertical="center"/>
    </xf>
    <xf numFmtId="38" fontId="3" fillId="12" borderId="1" xfId="1" applyFont="1" applyFill="1" applyBorder="1" applyAlignment="1">
      <alignment vertical="center" shrinkToFit="1"/>
    </xf>
    <xf numFmtId="180" fontId="3" fillId="12" borderId="1" xfId="1" applyNumberFormat="1" applyFont="1" applyFill="1" applyBorder="1" applyAlignment="1">
      <alignment vertical="center"/>
    </xf>
    <xf numFmtId="40" fontId="3" fillId="12" borderId="1" xfId="1" applyNumberFormat="1" applyFont="1" applyFill="1" applyBorder="1" applyAlignment="1">
      <alignment vertical="center"/>
    </xf>
    <xf numFmtId="38" fontId="3" fillId="12" borderId="5" xfId="1" applyFont="1" applyFill="1" applyBorder="1" applyAlignment="1">
      <alignment vertical="center"/>
    </xf>
    <xf numFmtId="38" fontId="3" fillId="12" borderId="7" xfId="1" applyFont="1" applyFill="1" applyBorder="1" applyAlignment="1">
      <alignment vertical="center"/>
    </xf>
    <xf numFmtId="38" fontId="3" fillId="12" borderId="6" xfId="1" applyFont="1" applyFill="1" applyBorder="1" applyAlignment="1">
      <alignment vertical="center"/>
    </xf>
    <xf numFmtId="0" fontId="3" fillId="12" borderId="0" xfId="0" applyFont="1" applyFill="1">
      <alignment vertical="center"/>
    </xf>
    <xf numFmtId="38" fontId="3" fillId="12" borderId="2" xfId="1" applyFont="1" applyFill="1" applyBorder="1" applyAlignment="1">
      <alignment vertical="center"/>
    </xf>
    <xf numFmtId="0" fontId="16" fillId="7" borderId="3" xfId="0" applyFont="1" applyFill="1" applyBorder="1" applyAlignment="1">
      <alignment horizontal="center" vertical="center"/>
    </xf>
    <xf numFmtId="0" fontId="16" fillId="7" borderId="93" xfId="0" applyFont="1" applyFill="1" applyBorder="1" applyAlignment="1">
      <alignment horizontal="center" vertical="center"/>
    </xf>
    <xf numFmtId="0" fontId="16" fillId="7" borderId="44" xfId="0" applyFont="1" applyFill="1" applyBorder="1" applyAlignment="1">
      <alignment horizontal="center" vertical="center"/>
    </xf>
    <xf numFmtId="0" fontId="16" fillId="7" borderId="41" xfId="0" applyFont="1" applyFill="1" applyBorder="1" applyAlignment="1">
      <alignment horizontal="center" vertical="center"/>
    </xf>
    <xf numFmtId="0" fontId="16" fillId="7" borderId="94" xfId="0" applyFont="1" applyFill="1" applyBorder="1" applyAlignment="1">
      <alignment horizontal="center" vertical="center"/>
    </xf>
    <xf numFmtId="0" fontId="13" fillId="3" borderId="0" xfId="0" applyFont="1" applyFill="1" applyAlignment="1">
      <alignment horizontal="left" vertical="center" wrapText="1"/>
    </xf>
    <xf numFmtId="0" fontId="3" fillId="4" borderId="1" xfId="0" applyFont="1" applyFill="1" applyBorder="1" applyAlignment="1">
      <alignment horizontal="center" vertical="center"/>
    </xf>
    <xf numFmtId="0" fontId="3" fillId="2" borderId="1" xfId="0" applyFont="1" applyFill="1" applyBorder="1" applyAlignment="1">
      <alignment horizontal="center" vertical="center"/>
    </xf>
    <xf numFmtId="38" fontId="22" fillId="4" borderId="84" xfId="1" applyFont="1" applyFill="1" applyBorder="1" applyAlignment="1">
      <alignment horizontal="center" vertical="center"/>
    </xf>
    <xf numFmtId="38" fontId="22" fillId="4" borderId="85" xfId="1" applyFont="1" applyFill="1" applyBorder="1" applyAlignment="1">
      <alignment horizontal="center" vertical="center"/>
    </xf>
    <xf numFmtId="38" fontId="22" fillId="4" borderId="86" xfId="1" applyFont="1" applyFill="1" applyBorder="1" applyAlignment="1">
      <alignment horizontal="center" vertical="center"/>
    </xf>
    <xf numFmtId="0" fontId="3" fillId="4" borderId="1" xfId="0" applyFont="1" applyFill="1" applyBorder="1" applyAlignment="1">
      <alignment horizontal="left" vertical="center" wrapText="1"/>
    </xf>
    <xf numFmtId="0" fontId="3" fillId="4" borderId="1" xfId="0" applyFont="1" applyFill="1" applyBorder="1" applyAlignment="1">
      <alignment horizontal="left" vertical="center"/>
    </xf>
    <xf numFmtId="38" fontId="3" fillId="4" borderId="81" xfId="1" applyFont="1" applyFill="1" applyBorder="1" applyAlignment="1" applyProtection="1">
      <alignment horizontal="center" vertical="center"/>
      <protection locked="0"/>
    </xf>
    <xf numFmtId="38" fontId="3" fillId="4" borderId="82" xfId="1" applyFont="1" applyFill="1" applyBorder="1" applyAlignment="1" applyProtection="1">
      <alignment horizontal="center" vertical="center"/>
      <protection locked="0"/>
    </xf>
    <xf numFmtId="38" fontId="3" fillId="4" borderId="83" xfId="1" applyFont="1" applyFill="1" applyBorder="1" applyAlignment="1" applyProtection="1">
      <alignment horizontal="center" vertical="center"/>
      <protection locked="0"/>
    </xf>
    <xf numFmtId="0" fontId="3" fillId="11" borderId="6" xfId="0" applyFont="1" applyFill="1" applyBorder="1" applyAlignment="1">
      <alignment horizontal="center" vertical="center"/>
    </xf>
    <xf numFmtId="0" fontId="3" fillId="11" borderId="1" xfId="0" applyFont="1" applyFill="1" applyBorder="1" applyAlignment="1">
      <alignment horizontal="center" vertical="center"/>
    </xf>
    <xf numFmtId="181" fontId="3" fillId="11" borderId="6" xfId="1" applyNumberFormat="1" applyFont="1" applyFill="1" applyBorder="1" applyAlignment="1">
      <alignment horizontal="center" vertical="center"/>
    </xf>
    <xf numFmtId="181" fontId="3" fillId="11" borderId="1" xfId="1" applyNumberFormat="1" applyFont="1" applyFill="1" applyBorder="1" applyAlignment="1">
      <alignment horizontal="center" vertical="center"/>
    </xf>
    <xf numFmtId="181" fontId="3" fillId="4" borderId="87" xfId="1" applyNumberFormat="1" applyFont="1" applyFill="1" applyBorder="1" applyAlignment="1">
      <alignment horizontal="center" vertical="center"/>
    </xf>
    <xf numFmtId="181" fontId="3" fillId="4" borderId="88" xfId="1" applyNumberFormat="1" applyFont="1" applyFill="1" applyBorder="1" applyAlignment="1">
      <alignment horizontal="center" vertical="center"/>
    </xf>
    <xf numFmtId="181" fontId="3" fillId="4" borderId="89" xfId="1" applyNumberFormat="1" applyFont="1" applyFill="1" applyBorder="1" applyAlignment="1">
      <alignment horizontal="center" vertical="center"/>
    </xf>
    <xf numFmtId="181" fontId="3" fillId="4" borderId="90" xfId="1" applyNumberFormat="1" applyFont="1" applyFill="1" applyBorder="1" applyAlignment="1">
      <alignment horizontal="center" vertical="center"/>
    </xf>
    <xf numFmtId="181" fontId="3" fillId="4" borderId="91" xfId="1" applyNumberFormat="1" applyFont="1" applyFill="1" applyBorder="1" applyAlignment="1">
      <alignment horizontal="center" vertical="center"/>
    </xf>
    <xf numFmtId="181" fontId="3" fillId="4" borderId="92" xfId="1" applyNumberFormat="1" applyFont="1" applyFill="1" applyBorder="1" applyAlignment="1">
      <alignment horizontal="center" vertical="center"/>
    </xf>
    <xf numFmtId="0" fontId="3" fillId="4" borderId="1" xfId="0" applyFont="1" applyFill="1" applyBorder="1" applyAlignment="1">
      <alignment horizontal="center" vertical="center" wrapText="1" shrinkToFit="1"/>
    </xf>
    <xf numFmtId="0" fontId="3" fillId="6" borderId="6" xfId="0" applyFont="1" applyFill="1" applyBorder="1" applyAlignment="1">
      <alignment horizontal="center" vertical="center"/>
    </xf>
    <xf numFmtId="0" fontId="3" fillId="6" borderId="1" xfId="0" applyFont="1" applyFill="1" applyBorder="1" applyAlignment="1">
      <alignment horizontal="center" vertical="center"/>
    </xf>
    <xf numFmtId="0" fontId="3" fillId="4" borderId="6" xfId="0" applyFont="1" applyFill="1" applyBorder="1" applyAlignment="1">
      <alignment horizontal="center" vertical="center"/>
    </xf>
    <xf numFmtId="181" fontId="3" fillId="6" borderId="6" xfId="1" applyNumberFormat="1" applyFont="1" applyFill="1" applyBorder="1" applyAlignment="1">
      <alignment horizontal="center" vertical="center"/>
    </xf>
    <xf numFmtId="181" fontId="3" fillId="6" borderId="1" xfId="1" applyNumberFormat="1" applyFont="1" applyFill="1" applyBorder="1" applyAlignment="1">
      <alignment horizontal="center" vertical="center"/>
    </xf>
    <xf numFmtId="38" fontId="3" fillId="0" borderId="2" xfId="1" applyFont="1" applyFill="1" applyBorder="1" applyAlignment="1">
      <alignment horizontal="center" vertical="center"/>
    </xf>
    <xf numFmtId="38" fontId="3" fillId="0" borderId="4" xfId="1" applyFont="1" applyFill="1" applyBorder="1" applyAlignment="1">
      <alignment horizontal="center" vertical="center"/>
    </xf>
    <xf numFmtId="38" fontId="3" fillId="0" borderId="5" xfId="1" applyFont="1" applyFill="1" applyBorder="1" applyAlignment="1">
      <alignment horizontal="center" vertical="center"/>
    </xf>
    <xf numFmtId="38" fontId="3" fillId="0" borderId="7" xfId="1" applyFont="1" applyFill="1" applyBorder="1" applyAlignment="1">
      <alignment horizontal="center" vertical="center"/>
    </xf>
    <xf numFmtId="38" fontId="3" fillId="0" borderId="6" xfId="1" applyFont="1" applyFill="1" applyBorder="1" applyAlignment="1">
      <alignment horizontal="center" vertical="center"/>
    </xf>
    <xf numFmtId="0" fontId="3" fillId="4" borderId="13" xfId="0" applyFont="1" applyFill="1" applyBorder="1" applyAlignment="1">
      <alignment horizontal="center" vertical="center" wrapText="1"/>
    </xf>
    <xf numFmtId="0" fontId="3" fillId="4" borderId="12" xfId="0" applyFont="1" applyFill="1" applyBorder="1" applyAlignment="1">
      <alignment horizontal="center" vertical="center" wrapText="1"/>
    </xf>
    <xf numFmtId="182" fontId="3" fillId="11" borderId="1" xfId="1" applyNumberFormat="1" applyFont="1" applyFill="1" applyBorder="1" applyAlignment="1">
      <alignment horizontal="center" vertical="center"/>
    </xf>
    <xf numFmtId="0" fontId="3" fillId="4" borderId="1" xfId="0" applyFont="1" applyFill="1" applyBorder="1" applyAlignment="1">
      <alignment horizontal="center" vertical="center" shrinkToFit="1"/>
    </xf>
    <xf numFmtId="182" fontId="3" fillId="6" borderId="1" xfId="1" applyNumberFormat="1" applyFont="1" applyFill="1" applyBorder="1" applyAlignment="1">
      <alignment horizontal="center" vertical="center"/>
    </xf>
    <xf numFmtId="38" fontId="3" fillId="2" borderId="1" xfId="0" applyNumberFormat="1" applyFont="1" applyFill="1" applyBorder="1" applyAlignment="1">
      <alignment horizontal="center" vertical="center"/>
    </xf>
    <xf numFmtId="178" fontId="17" fillId="7" borderId="15" xfId="0" applyNumberFormat="1" applyFont="1" applyFill="1" applyBorder="1" applyAlignment="1">
      <alignment horizontal="right" vertical="center"/>
    </xf>
    <xf numFmtId="178" fontId="17" fillId="7" borderId="29" xfId="0" applyNumberFormat="1" applyFont="1" applyFill="1" applyBorder="1" applyAlignment="1">
      <alignment horizontal="right" vertical="center"/>
    </xf>
    <xf numFmtId="0" fontId="17" fillId="7" borderId="29" xfId="0" applyFont="1" applyFill="1" applyBorder="1" applyAlignment="1">
      <alignment horizontal="center" vertical="center"/>
    </xf>
    <xf numFmtId="0" fontId="17" fillId="7" borderId="32" xfId="0" applyFont="1" applyFill="1" applyBorder="1" applyAlignment="1">
      <alignment horizontal="center" vertical="center"/>
    </xf>
    <xf numFmtId="0" fontId="16" fillId="7" borderId="2"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16" fillId="7" borderId="49" xfId="0" applyFont="1" applyFill="1" applyBorder="1" applyAlignment="1">
      <alignment horizontal="center" vertical="center" wrapText="1"/>
    </xf>
    <xf numFmtId="179" fontId="16" fillId="2" borderId="4" xfId="0" applyNumberFormat="1" applyFont="1" applyFill="1" applyBorder="1" applyAlignment="1">
      <alignment horizontal="center" vertical="center"/>
    </xf>
    <xf numFmtId="179" fontId="16" fillId="6" borderId="4" xfId="0" applyNumberFormat="1" applyFont="1" applyFill="1" applyBorder="1" applyAlignment="1">
      <alignment horizontal="center" vertical="center"/>
    </xf>
    <xf numFmtId="179" fontId="16" fillId="5" borderId="4" xfId="0" applyNumberFormat="1" applyFont="1" applyFill="1" applyBorder="1" applyAlignment="1">
      <alignment horizontal="center" vertical="center"/>
    </xf>
    <xf numFmtId="0" fontId="20" fillId="8" borderId="35" xfId="0" applyFont="1" applyFill="1" applyBorder="1" applyAlignment="1">
      <alignment horizontal="center" vertical="center" wrapText="1"/>
    </xf>
    <xf numFmtId="0" fontId="20" fillId="8" borderId="25" xfId="0" applyFont="1" applyFill="1" applyBorder="1" applyAlignment="1">
      <alignment horizontal="center" vertical="center"/>
    </xf>
    <xf numFmtId="0" fontId="20" fillId="8" borderId="36" xfId="0" applyFont="1" applyFill="1" applyBorder="1" applyAlignment="1">
      <alignment horizontal="center" vertical="center"/>
    </xf>
    <xf numFmtId="0" fontId="20" fillId="8" borderId="27" xfId="0" applyFont="1" applyFill="1" applyBorder="1" applyAlignment="1">
      <alignment horizontal="center" vertical="center"/>
    </xf>
    <xf numFmtId="179" fontId="18" fillId="8" borderId="24" xfId="0" applyNumberFormat="1" applyFont="1" applyFill="1" applyBorder="1" applyAlignment="1">
      <alignment horizontal="center" vertical="center"/>
    </xf>
    <xf numFmtId="179" fontId="18" fillId="8" borderId="25" xfId="0" applyNumberFormat="1" applyFont="1" applyFill="1" applyBorder="1" applyAlignment="1">
      <alignment horizontal="center" vertical="center"/>
    </xf>
    <xf numFmtId="179" fontId="18" fillId="8" borderId="26" xfId="0" applyNumberFormat="1" applyFont="1" applyFill="1" applyBorder="1" applyAlignment="1">
      <alignment horizontal="center" vertical="center"/>
    </xf>
    <xf numFmtId="179" fontId="18" fillId="8" borderId="27" xfId="0" applyNumberFormat="1" applyFont="1" applyFill="1" applyBorder="1" applyAlignment="1">
      <alignment horizontal="center" vertical="center"/>
    </xf>
    <xf numFmtId="0" fontId="15" fillId="7" borderId="15" xfId="0" applyFont="1" applyFill="1" applyBorder="1" applyAlignment="1">
      <alignment horizontal="center" vertical="center"/>
    </xf>
    <xf numFmtId="0" fontId="15" fillId="7" borderId="29" xfId="0" applyFont="1" applyFill="1" applyBorder="1" applyAlignment="1">
      <alignment horizontal="center" vertical="center"/>
    </xf>
    <xf numFmtId="179" fontId="15" fillId="7" borderId="29" xfId="0" applyNumberFormat="1" applyFont="1" applyFill="1" applyBorder="1" applyAlignment="1">
      <alignment horizontal="center" vertical="center"/>
    </xf>
    <xf numFmtId="179" fontId="15" fillId="7" borderId="32" xfId="0" applyNumberFormat="1" applyFont="1" applyFill="1" applyBorder="1" applyAlignment="1">
      <alignment horizontal="center" vertical="center"/>
    </xf>
    <xf numFmtId="38" fontId="18" fillId="2" borderId="68" xfId="1" applyFont="1" applyFill="1" applyBorder="1" applyAlignment="1">
      <alignment horizontal="right" vertical="center"/>
    </xf>
    <xf numFmtId="38" fontId="18" fillId="2" borderId="20" xfId="1" applyFont="1" applyFill="1" applyBorder="1" applyAlignment="1">
      <alignment horizontal="right" vertical="center"/>
    </xf>
    <xf numFmtId="38" fontId="18" fillId="6" borderId="21" xfId="1" applyFont="1" applyFill="1" applyBorder="1" applyAlignment="1">
      <alignment horizontal="right" vertical="center"/>
    </xf>
    <xf numFmtId="38" fontId="18" fillId="6" borderId="38" xfId="1" applyFont="1" applyFill="1" applyBorder="1" applyAlignment="1">
      <alignment horizontal="right" vertical="center"/>
    </xf>
    <xf numFmtId="38" fontId="18" fillId="5" borderId="21" xfId="1" applyFont="1" applyFill="1" applyBorder="1" applyAlignment="1">
      <alignment horizontal="right" vertical="center"/>
    </xf>
    <xf numFmtId="38" fontId="18" fillId="5" borderId="33" xfId="1" applyFont="1" applyFill="1" applyBorder="1" applyAlignment="1">
      <alignment horizontal="right" vertical="center"/>
    </xf>
    <xf numFmtId="38" fontId="18" fillId="2" borderId="65" xfId="1" applyFont="1" applyFill="1" applyBorder="1" applyAlignment="1">
      <alignment horizontal="right" vertical="center"/>
    </xf>
    <xf numFmtId="38" fontId="18" fillId="2" borderId="31" xfId="1" applyFont="1" applyFill="1" applyBorder="1" applyAlignment="1">
      <alignment horizontal="right" vertical="center"/>
    </xf>
    <xf numFmtId="38" fontId="18" fillId="6" borderId="66" xfId="1" applyFont="1" applyFill="1" applyBorder="1" applyAlignment="1">
      <alignment horizontal="right" vertical="center"/>
    </xf>
    <xf numFmtId="38" fontId="18" fillId="6" borderId="31" xfId="1" applyFont="1" applyFill="1" applyBorder="1" applyAlignment="1">
      <alignment horizontal="right" vertical="center"/>
    </xf>
    <xf numFmtId="38" fontId="18" fillId="5" borderId="66" xfId="1" applyFont="1" applyFill="1" applyBorder="1" applyAlignment="1">
      <alignment horizontal="right" vertical="center"/>
    </xf>
    <xf numFmtId="38" fontId="18" fillId="5" borderId="67" xfId="1" applyFont="1" applyFill="1" applyBorder="1" applyAlignment="1">
      <alignment horizontal="right" vertical="center"/>
    </xf>
    <xf numFmtId="0" fontId="21" fillId="0" borderId="0" xfId="0" applyFont="1" applyAlignment="1">
      <alignment horizontal="center" vertical="center"/>
    </xf>
    <xf numFmtId="38" fontId="18" fillId="2" borderId="18" xfId="1" applyFont="1" applyFill="1" applyBorder="1" applyAlignment="1">
      <alignment horizontal="right" vertical="center"/>
    </xf>
    <xf numFmtId="38" fontId="18" fillId="2" borderId="1" xfId="1" applyFont="1" applyFill="1" applyBorder="1" applyAlignment="1">
      <alignment horizontal="right" vertical="center"/>
    </xf>
    <xf numFmtId="38" fontId="18" fillId="6" borderId="1" xfId="1" applyFont="1" applyFill="1" applyBorder="1" applyAlignment="1">
      <alignment horizontal="right" vertical="center"/>
    </xf>
    <xf numFmtId="38" fontId="18" fillId="5" borderId="1" xfId="1" applyFont="1" applyFill="1" applyBorder="1" applyAlignment="1">
      <alignment horizontal="right" vertical="center"/>
    </xf>
    <xf numFmtId="38" fontId="18" fillId="5" borderId="19" xfId="1" applyFont="1" applyFill="1" applyBorder="1" applyAlignment="1">
      <alignment horizontal="right" vertical="center"/>
    </xf>
    <xf numFmtId="38" fontId="18" fillId="2" borderId="63" xfId="0" applyNumberFormat="1" applyFont="1" applyFill="1" applyBorder="1" applyAlignment="1">
      <alignment horizontal="right" vertical="center"/>
    </xf>
    <xf numFmtId="38" fontId="18" fillId="2" borderId="4" xfId="0" applyNumberFormat="1" applyFont="1" applyFill="1" applyBorder="1" applyAlignment="1">
      <alignment horizontal="right" vertical="center"/>
    </xf>
    <xf numFmtId="38" fontId="18" fillId="6" borderId="4" xfId="0" applyNumberFormat="1" applyFont="1" applyFill="1" applyBorder="1" applyAlignment="1">
      <alignment horizontal="right" vertical="center"/>
    </xf>
    <xf numFmtId="38" fontId="18" fillId="5" borderId="56" xfId="0" applyNumberFormat="1" applyFont="1" applyFill="1" applyBorder="1" applyAlignment="1">
      <alignment horizontal="right" vertical="center"/>
    </xf>
    <xf numFmtId="38" fontId="18" fillId="5" borderId="64" xfId="0" applyNumberFormat="1" applyFont="1" applyFill="1" applyBorder="1" applyAlignment="1">
      <alignment horizontal="right" vertical="center"/>
    </xf>
    <xf numFmtId="0" fontId="16" fillId="7" borderId="13" xfId="0" applyFont="1" applyFill="1" applyBorder="1" applyAlignment="1">
      <alignment horizontal="center" vertical="center" wrapText="1"/>
    </xf>
    <xf numFmtId="0" fontId="16" fillId="7" borderId="12" xfId="0" applyFont="1" applyFill="1" applyBorder="1" applyAlignment="1">
      <alignment horizontal="center" vertical="center"/>
    </xf>
    <xf numFmtId="0" fontId="16" fillId="7" borderId="21" xfId="0" applyFont="1" applyFill="1" applyBorder="1" applyAlignment="1">
      <alignment horizontal="center" vertical="center"/>
    </xf>
    <xf numFmtId="0" fontId="16" fillId="7" borderId="0" xfId="0" applyFont="1" applyFill="1" applyAlignment="1">
      <alignment horizontal="center" vertical="center"/>
    </xf>
    <xf numFmtId="0" fontId="16" fillId="7" borderId="26" xfId="0" applyFont="1" applyFill="1" applyBorder="1" applyAlignment="1">
      <alignment horizontal="center" vertical="center"/>
    </xf>
    <xf numFmtId="0" fontId="16" fillId="7" borderId="69" xfId="0" applyFont="1" applyFill="1" applyBorder="1" applyAlignment="1">
      <alignment horizontal="center" vertical="center"/>
    </xf>
    <xf numFmtId="0" fontId="16" fillId="7" borderId="2" xfId="0" applyFont="1" applyFill="1" applyBorder="1" applyAlignment="1">
      <alignment horizontal="center" vertical="center"/>
    </xf>
    <xf numFmtId="0" fontId="16" fillId="7" borderId="3" xfId="0" applyFont="1" applyFill="1" applyBorder="1" applyAlignment="1">
      <alignment horizontal="center" vertical="center"/>
    </xf>
    <xf numFmtId="0" fontId="16" fillId="7" borderId="53" xfId="0" applyFont="1" applyFill="1" applyBorder="1" applyAlignment="1">
      <alignment horizontal="center" vertical="center"/>
    </xf>
    <xf numFmtId="0" fontId="16" fillId="7" borderId="53"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7" borderId="71" xfId="0" applyFont="1" applyFill="1" applyBorder="1" applyAlignment="1">
      <alignment horizontal="center" vertical="center" wrapText="1"/>
    </xf>
    <xf numFmtId="0" fontId="16" fillId="7" borderId="52" xfId="0" applyFont="1" applyFill="1" applyBorder="1" applyAlignment="1">
      <alignment horizontal="center" vertical="center" wrapText="1"/>
    </xf>
    <xf numFmtId="0" fontId="16" fillId="2" borderId="16" xfId="0" applyFont="1" applyFill="1" applyBorder="1" applyAlignment="1">
      <alignment horizontal="center" vertical="center"/>
    </xf>
    <xf numFmtId="0" fontId="16" fillId="2" borderId="55" xfId="0" applyFont="1" applyFill="1" applyBorder="1" applyAlignment="1">
      <alignment horizontal="center" vertical="center"/>
    </xf>
    <xf numFmtId="0" fontId="16" fillId="6" borderId="55" xfId="0" applyFont="1" applyFill="1" applyBorder="1" applyAlignment="1">
      <alignment horizontal="center" vertical="center"/>
    </xf>
    <xf numFmtId="0" fontId="16" fillId="5" borderId="55" xfId="0" applyFont="1" applyFill="1" applyBorder="1" applyAlignment="1">
      <alignment horizontal="center" vertical="center"/>
    </xf>
    <xf numFmtId="0" fontId="16" fillId="5" borderId="17" xfId="0" applyFont="1" applyFill="1" applyBorder="1" applyAlignment="1">
      <alignment horizontal="center" vertical="center"/>
    </xf>
    <xf numFmtId="38" fontId="3" fillId="12" borderId="5" xfId="1" applyFont="1" applyFill="1" applyBorder="1" applyAlignment="1">
      <alignment horizontal="center" vertical="center"/>
    </xf>
    <xf numFmtId="38" fontId="3" fillId="12" borderId="7" xfId="1" applyFont="1" applyFill="1" applyBorder="1" applyAlignment="1">
      <alignment horizontal="center" vertical="center"/>
    </xf>
    <xf numFmtId="38" fontId="3" fillId="12" borderId="6" xfId="1" applyFont="1" applyFill="1" applyBorder="1" applyAlignment="1">
      <alignment horizontal="center" vertical="center"/>
    </xf>
    <xf numFmtId="38" fontId="3" fillId="12" borderId="2" xfId="1" applyFont="1" applyFill="1" applyBorder="1" applyAlignment="1">
      <alignment horizontal="center" vertical="center"/>
    </xf>
    <xf numFmtId="38" fontId="3" fillId="12" borderId="4" xfId="1" applyFont="1" applyFill="1" applyBorder="1" applyAlignment="1">
      <alignment horizontal="center" vertical="center"/>
    </xf>
  </cellXfs>
  <cellStyles count="3">
    <cellStyle name="パーセント" xfId="2" builtinId="5"/>
    <cellStyle name="桁区切り" xfId="1" builtinId="6"/>
    <cellStyle name="標準" xfId="0" builtinId="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124233</xdr:colOff>
      <xdr:row>9</xdr:row>
      <xdr:rowOff>85726</xdr:rowOff>
    </xdr:from>
    <xdr:to>
      <xdr:col>10</xdr:col>
      <xdr:colOff>197215</xdr:colOff>
      <xdr:row>10</xdr:row>
      <xdr:rowOff>295276</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3530821" y="3458697"/>
          <a:ext cx="5339747" cy="5905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1400">
              <a:latin typeface="HG丸ｺﾞｼｯｸM-PRO" panose="020F0600000000000000" pitchFamily="50" charset="-128"/>
              <a:ea typeface="HG丸ｺﾞｼｯｸM-PRO" panose="020F0600000000000000" pitchFamily="50" charset="-128"/>
            </a:rPr>
            <a:t>加入予定者の中に世帯主様はいらっしゃいますか？</a:t>
          </a:r>
          <a:endParaRPr kumimoji="1" lang="en-US" altLang="ja-JP" sz="1400">
            <a:latin typeface="HG丸ｺﾞｼｯｸM-PRO" panose="020F0600000000000000" pitchFamily="50" charset="-128"/>
            <a:ea typeface="HG丸ｺﾞｼｯｸM-PRO" panose="020F0600000000000000" pitchFamily="50" charset="-128"/>
          </a:endParaRPr>
        </a:p>
      </xdr:txBody>
    </xdr:sp>
    <xdr:clientData/>
  </xdr:twoCellAnchor>
  <xdr:twoCellAnchor>
    <xdr:from>
      <xdr:col>4</xdr:col>
      <xdr:colOff>280147</xdr:colOff>
      <xdr:row>11</xdr:row>
      <xdr:rowOff>67235</xdr:rowOff>
    </xdr:from>
    <xdr:to>
      <xdr:col>11</xdr:col>
      <xdr:colOff>291353</xdr:colOff>
      <xdr:row>16</xdr:row>
      <xdr:rowOff>33617</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2633382" y="4202206"/>
          <a:ext cx="7384677" cy="1871382"/>
          <a:chOff x="324971" y="2924735"/>
          <a:chExt cx="7384676" cy="1871382"/>
        </a:xfrm>
      </xdr:grpSpPr>
      <xdr:cxnSp macro="">
        <xdr:nvCxnSpPr>
          <xdr:cNvPr id="15" name="直線矢印コネクタ 14">
            <a:extLst>
              <a:ext uri="{FF2B5EF4-FFF2-40B4-BE49-F238E27FC236}">
                <a16:creationId xmlns:a16="http://schemas.microsoft.com/office/drawing/2014/main" id="{00000000-0008-0000-0000-00000F000000}"/>
              </a:ext>
            </a:extLst>
          </xdr:cNvPr>
          <xdr:cNvCxnSpPr/>
        </xdr:nvCxnSpPr>
        <xdr:spPr>
          <a:xfrm flipH="1">
            <a:off x="324971" y="2958353"/>
            <a:ext cx="2644589" cy="179294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16" name="ドーナツ 15">
            <a:extLst>
              <a:ext uri="{FF2B5EF4-FFF2-40B4-BE49-F238E27FC236}">
                <a16:creationId xmlns:a16="http://schemas.microsoft.com/office/drawing/2014/main" id="{00000000-0008-0000-0000-000010000000}"/>
              </a:ext>
            </a:extLst>
          </xdr:cNvPr>
          <xdr:cNvSpPr/>
        </xdr:nvSpPr>
        <xdr:spPr>
          <a:xfrm>
            <a:off x="1260662" y="3435163"/>
            <a:ext cx="819150" cy="819150"/>
          </a:xfrm>
          <a:prstGeom prst="donut">
            <a:avLst>
              <a:gd name="adj" fmla="val 14410"/>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7" name="直線矢印コネクタ 16">
            <a:extLst>
              <a:ext uri="{FF2B5EF4-FFF2-40B4-BE49-F238E27FC236}">
                <a16:creationId xmlns:a16="http://schemas.microsoft.com/office/drawing/2014/main" id="{00000000-0008-0000-0000-000011000000}"/>
              </a:ext>
            </a:extLst>
          </xdr:cNvPr>
          <xdr:cNvCxnSpPr/>
        </xdr:nvCxnSpPr>
        <xdr:spPr>
          <a:xfrm>
            <a:off x="4403912" y="2924735"/>
            <a:ext cx="3305735" cy="187138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18" name="乗算記号 37">
            <a:extLst>
              <a:ext uri="{FF2B5EF4-FFF2-40B4-BE49-F238E27FC236}">
                <a16:creationId xmlns:a16="http://schemas.microsoft.com/office/drawing/2014/main" id="{00000000-0008-0000-0000-000012000000}"/>
              </a:ext>
            </a:extLst>
          </xdr:cNvPr>
          <xdr:cNvSpPr/>
        </xdr:nvSpPr>
        <xdr:spPr>
          <a:xfrm>
            <a:off x="5534026" y="3346078"/>
            <a:ext cx="1120028" cy="1123950"/>
          </a:xfrm>
          <a:prstGeom prst="mathMultiply">
            <a:avLst>
              <a:gd name="adj1" fmla="val 16740"/>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796636</xdr:colOff>
      <xdr:row>1</xdr:row>
      <xdr:rowOff>304961</xdr:rowOff>
    </xdr:from>
    <xdr:to>
      <xdr:col>12</xdr:col>
      <xdr:colOff>654380</xdr:colOff>
      <xdr:row>3</xdr:row>
      <xdr:rowOff>318409</xdr:rowOff>
    </xdr:to>
    <xdr:sp macro="" textlink="">
      <xdr:nvSpPr>
        <xdr:cNvPr id="19" name="角丸四角形 18">
          <a:extLst>
            <a:ext uri="{FF2B5EF4-FFF2-40B4-BE49-F238E27FC236}">
              <a16:creationId xmlns:a16="http://schemas.microsoft.com/office/drawing/2014/main" id="{00000000-0008-0000-0000-000013000000}"/>
            </a:ext>
          </a:extLst>
        </xdr:cNvPr>
        <xdr:cNvSpPr/>
      </xdr:nvSpPr>
      <xdr:spPr>
        <a:xfrm>
          <a:off x="7363283" y="629932"/>
          <a:ext cx="4071156" cy="77544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1400">
              <a:latin typeface="HG丸ｺﾞｼｯｸM-PRO" panose="020F0600000000000000" pitchFamily="50" charset="-128"/>
              <a:ea typeface="HG丸ｺﾞｼｯｸM-PRO" panose="020F0600000000000000" pitchFamily="50" charset="-128"/>
            </a:rPr>
            <a:t>加入予定の方すべての前年の所得がわかる資料</a:t>
          </a:r>
          <a:endParaRPr kumimoji="1" lang="en-US" altLang="ja-JP" sz="1400">
            <a:latin typeface="HG丸ｺﾞｼｯｸM-PRO" panose="020F0600000000000000" pitchFamily="50" charset="-128"/>
            <a:ea typeface="HG丸ｺﾞｼｯｸM-PRO" panose="020F0600000000000000" pitchFamily="50" charset="-128"/>
          </a:endParaRPr>
        </a:p>
        <a:p>
          <a:pPr algn="ctr"/>
          <a:r>
            <a:rPr kumimoji="1" lang="ja-JP" altLang="en-US" sz="1400">
              <a:latin typeface="HG丸ｺﾞｼｯｸM-PRO" panose="020F0600000000000000" pitchFamily="50" charset="-128"/>
              <a:ea typeface="HG丸ｺﾞｼｯｸM-PRO" panose="020F0600000000000000" pitchFamily="50" charset="-128"/>
            </a:rPr>
            <a:t>は手元にありますか？</a:t>
          </a:r>
        </a:p>
      </xdr:txBody>
    </xdr:sp>
    <xdr:clientData/>
  </xdr:twoCellAnchor>
  <xdr:twoCellAnchor>
    <xdr:from>
      <xdr:col>7</xdr:col>
      <xdr:colOff>538683</xdr:colOff>
      <xdr:row>4</xdr:row>
      <xdr:rowOff>40021</xdr:rowOff>
    </xdr:from>
    <xdr:to>
      <xdr:col>14</xdr:col>
      <xdr:colOff>549889</xdr:colOff>
      <xdr:row>9</xdr:row>
      <xdr:rowOff>6403</xdr:rowOff>
    </xdr:to>
    <xdr:grpSp>
      <xdr:nvGrpSpPr>
        <xdr:cNvPr id="20" name="グループ化 19">
          <a:extLst>
            <a:ext uri="{FF2B5EF4-FFF2-40B4-BE49-F238E27FC236}">
              <a16:creationId xmlns:a16="http://schemas.microsoft.com/office/drawing/2014/main" id="{00000000-0008-0000-0000-000014000000}"/>
            </a:ext>
          </a:extLst>
        </xdr:cNvPr>
        <xdr:cNvGrpSpPr/>
      </xdr:nvGrpSpPr>
      <xdr:grpSpPr>
        <a:xfrm>
          <a:off x="6051977" y="1507992"/>
          <a:ext cx="7384677" cy="1871382"/>
          <a:chOff x="324971" y="2924735"/>
          <a:chExt cx="7384676" cy="1871382"/>
        </a:xfrm>
      </xdr:grpSpPr>
      <xdr:cxnSp macro="">
        <xdr:nvCxnSpPr>
          <xdr:cNvPr id="21" name="直線矢印コネクタ 20">
            <a:extLst>
              <a:ext uri="{FF2B5EF4-FFF2-40B4-BE49-F238E27FC236}">
                <a16:creationId xmlns:a16="http://schemas.microsoft.com/office/drawing/2014/main" id="{00000000-0008-0000-0000-000015000000}"/>
              </a:ext>
            </a:extLst>
          </xdr:cNvPr>
          <xdr:cNvCxnSpPr/>
        </xdr:nvCxnSpPr>
        <xdr:spPr>
          <a:xfrm flipH="1">
            <a:off x="324971" y="2958353"/>
            <a:ext cx="2644589" cy="179294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22" name="ドーナツ 21">
            <a:extLst>
              <a:ext uri="{FF2B5EF4-FFF2-40B4-BE49-F238E27FC236}">
                <a16:creationId xmlns:a16="http://schemas.microsoft.com/office/drawing/2014/main" id="{00000000-0008-0000-0000-000016000000}"/>
              </a:ext>
            </a:extLst>
          </xdr:cNvPr>
          <xdr:cNvSpPr/>
        </xdr:nvSpPr>
        <xdr:spPr>
          <a:xfrm>
            <a:off x="1260662" y="3435163"/>
            <a:ext cx="819150" cy="819150"/>
          </a:xfrm>
          <a:prstGeom prst="donut">
            <a:avLst>
              <a:gd name="adj" fmla="val 14410"/>
            </a:avLst>
          </a:prstGeom>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3" name="直線矢印コネクタ 22">
            <a:extLst>
              <a:ext uri="{FF2B5EF4-FFF2-40B4-BE49-F238E27FC236}">
                <a16:creationId xmlns:a16="http://schemas.microsoft.com/office/drawing/2014/main" id="{00000000-0008-0000-0000-000017000000}"/>
              </a:ext>
            </a:extLst>
          </xdr:cNvPr>
          <xdr:cNvCxnSpPr/>
        </xdr:nvCxnSpPr>
        <xdr:spPr>
          <a:xfrm>
            <a:off x="4403912" y="2924735"/>
            <a:ext cx="3305735" cy="187138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sp macro="" textlink="">
        <xdr:nvSpPr>
          <xdr:cNvPr id="24" name="乗算記号 42">
            <a:extLst>
              <a:ext uri="{FF2B5EF4-FFF2-40B4-BE49-F238E27FC236}">
                <a16:creationId xmlns:a16="http://schemas.microsoft.com/office/drawing/2014/main" id="{00000000-0008-0000-0000-000018000000}"/>
              </a:ext>
            </a:extLst>
          </xdr:cNvPr>
          <xdr:cNvSpPr/>
        </xdr:nvSpPr>
        <xdr:spPr>
          <a:xfrm>
            <a:off x="5534026" y="3346078"/>
            <a:ext cx="1120028" cy="1123950"/>
          </a:xfrm>
          <a:prstGeom prst="mathMultiply">
            <a:avLst>
              <a:gd name="adj1" fmla="val 16740"/>
            </a:avLst>
          </a:prstGeom>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217713</xdr:colOff>
      <xdr:row>9</xdr:row>
      <xdr:rowOff>163285</xdr:rowOff>
    </xdr:from>
    <xdr:to>
      <xdr:col>16</xdr:col>
      <xdr:colOff>842295</xdr:colOff>
      <xdr:row>13</xdr:row>
      <xdr:rowOff>242454</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15019563" y="3535135"/>
          <a:ext cx="2739132" cy="1603169"/>
        </a:xfrm>
        <a:prstGeom prst="rect">
          <a:avLst/>
        </a:prstGeom>
        <a:ln w="57150"/>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600">
              <a:latin typeface="HG丸ｺﾞｼｯｸM-PRO" panose="020F0600000000000000" pitchFamily="50" charset="-128"/>
              <a:ea typeface="HG丸ｺﾞｼｯｸM-PRO" panose="020F0600000000000000" pitchFamily="50" charset="-128"/>
            </a:rPr>
            <a:t>シート「所得金額とは」を参考に所得資料をご準備いただくことをおすすめします。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67235</xdr:colOff>
      <xdr:row>134</xdr:row>
      <xdr:rowOff>56029</xdr:rowOff>
    </xdr:from>
    <xdr:to>
      <xdr:col>8</xdr:col>
      <xdr:colOff>459441</xdr:colOff>
      <xdr:row>162</xdr:row>
      <xdr:rowOff>11248</xdr:rowOff>
    </xdr:to>
    <xdr:pic>
      <xdr:nvPicPr>
        <xdr:cNvPr id="46" name="図 45">
          <a:extLst>
            <a:ext uri="{FF2B5EF4-FFF2-40B4-BE49-F238E27FC236}">
              <a16:creationId xmlns:a16="http://schemas.microsoft.com/office/drawing/2014/main" id="{AC2A24BF-3B56-54B2-344C-373BDB32E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3059" y="29236147"/>
          <a:ext cx="5177117" cy="4661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508187</xdr:colOff>
      <xdr:row>42</xdr:row>
      <xdr:rowOff>0</xdr:rowOff>
    </xdr:from>
    <xdr:to>
      <xdr:col>2</xdr:col>
      <xdr:colOff>56030</xdr:colOff>
      <xdr:row>43</xdr:row>
      <xdr:rowOff>0</xdr:rowOff>
    </xdr:to>
    <xdr:sp macro="" textlink="">
      <xdr:nvSpPr>
        <xdr:cNvPr id="10" name="円/楕円 9">
          <a:extLst>
            <a:ext uri="{FF2B5EF4-FFF2-40B4-BE49-F238E27FC236}">
              <a16:creationId xmlns:a16="http://schemas.microsoft.com/office/drawing/2014/main" id="{1BBA6C64-9525-4AFD-BA98-71F52033FFC8}"/>
            </a:ext>
          </a:extLst>
        </xdr:cNvPr>
        <xdr:cNvSpPr/>
      </xdr:nvSpPr>
      <xdr:spPr>
        <a:xfrm>
          <a:off x="934011" y="7295029"/>
          <a:ext cx="231401"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685799</xdr:colOff>
      <xdr:row>3</xdr:row>
      <xdr:rowOff>0</xdr:rowOff>
    </xdr:from>
    <xdr:to>
      <xdr:col>11</xdr:col>
      <xdr:colOff>485774</xdr:colOff>
      <xdr:row>4</xdr:row>
      <xdr:rowOff>161925</xdr:rowOff>
    </xdr:to>
    <xdr:sp macro="" textlink="">
      <xdr:nvSpPr>
        <xdr:cNvPr id="11" name="角丸四角形 10">
          <a:extLst>
            <a:ext uri="{FF2B5EF4-FFF2-40B4-BE49-F238E27FC236}">
              <a16:creationId xmlns:a16="http://schemas.microsoft.com/office/drawing/2014/main" id="{5BEB5770-1341-498A-A33A-23DB7DA348D3}"/>
            </a:ext>
          </a:extLst>
        </xdr:cNvPr>
        <xdr:cNvSpPr/>
      </xdr:nvSpPr>
      <xdr:spPr>
        <a:xfrm>
          <a:off x="2486024" y="581025"/>
          <a:ext cx="5286375" cy="3333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kumimoji="1" lang="ja-JP" altLang="en-US" sz="1200" b="1" u="sng">
              <a:latin typeface="HG丸ｺﾞｼｯｸM-PRO" panose="020F0600000000000000" pitchFamily="50" charset="-128"/>
              <a:ea typeface="HG丸ｺﾞｼｯｸM-PRO" panose="020F0600000000000000" pitchFamily="50" charset="-128"/>
            </a:rPr>
            <a:t>昨年</a:t>
          </a:r>
          <a:r>
            <a:rPr kumimoji="1" lang="ja-JP" altLang="en-US" sz="1200">
              <a:latin typeface="HG丸ｺﾞｼｯｸM-PRO" panose="020F0600000000000000" pitchFamily="50" charset="-128"/>
              <a:ea typeface="HG丸ｺﾞｼｯｸM-PRO" panose="020F0600000000000000" pitchFamily="50" charset="-128"/>
            </a:rPr>
            <a:t>一年間（</a:t>
          </a:r>
          <a:r>
            <a:rPr kumimoji="1" lang="en-US" altLang="ja-JP" sz="1200">
              <a:latin typeface="HG丸ｺﾞｼｯｸM-PRO" panose="020F0600000000000000" pitchFamily="50" charset="-128"/>
              <a:ea typeface="HG丸ｺﾞｼｯｸM-PRO" panose="020F0600000000000000" pitchFamily="50" charset="-128"/>
            </a:rPr>
            <a:t>1</a:t>
          </a:r>
          <a:r>
            <a:rPr kumimoji="1" lang="ja-JP" altLang="en-US" sz="1200" baseline="0">
              <a:latin typeface="HG丸ｺﾞｼｯｸM-PRO" panose="020F0600000000000000" pitchFamily="50" charset="-128"/>
              <a:ea typeface="HG丸ｺﾞｼｯｸM-PRO" panose="020F0600000000000000" pitchFamily="50" charset="-128"/>
            </a:rPr>
            <a:t>～</a:t>
          </a:r>
          <a:r>
            <a:rPr kumimoji="1" lang="en-US" altLang="ja-JP" sz="1200" baseline="0">
              <a:latin typeface="HG丸ｺﾞｼｯｸM-PRO" panose="020F0600000000000000" pitchFamily="50" charset="-128"/>
              <a:ea typeface="HG丸ｺﾞｼｯｸM-PRO" panose="020F0600000000000000" pitchFamily="50" charset="-128"/>
            </a:rPr>
            <a:t>12</a:t>
          </a:r>
          <a:r>
            <a:rPr kumimoji="1" lang="ja-JP" altLang="en-US" sz="1200" baseline="0">
              <a:latin typeface="HG丸ｺﾞｼｯｸM-PRO" panose="020F0600000000000000" pitchFamily="50" charset="-128"/>
              <a:ea typeface="HG丸ｺﾞｼｯｸM-PRO" panose="020F0600000000000000" pitchFamily="50" charset="-128"/>
            </a:rPr>
            <a:t>月）の所得の種類は？</a:t>
          </a:r>
          <a:endParaRPr kumimoji="1" lang="en-US" altLang="ja-JP" sz="12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273422</xdr:colOff>
      <xdr:row>6</xdr:row>
      <xdr:rowOff>139513</xdr:rowOff>
    </xdr:from>
    <xdr:to>
      <xdr:col>2</xdr:col>
      <xdr:colOff>604040</xdr:colOff>
      <xdr:row>12</xdr:row>
      <xdr:rowOff>30984</xdr:rowOff>
    </xdr:to>
    <xdr:sp macro="" textlink="">
      <xdr:nvSpPr>
        <xdr:cNvPr id="12" name="角丸四角形 11">
          <a:extLst>
            <a:ext uri="{FF2B5EF4-FFF2-40B4-BE49-F238E27FC236}">
              <a16:creationId xmlns:a16="http://schemas.microsoft.com/office/drawing/2014/main" id="{24D462A2-C402-4B72-9869-101F319CAC98}"/>
            </a:ext>
          </a:extLst>
        </xdr:cNvPr>
        <xdr:cNvSpPr/>
      </xdr:nvSpPr>
      <xdr:spPr>
        <a:xfrm>
          <a:off x="273422" y="1215278"/>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600" baseline="0">
              <a:latin typeface="HG丸ｺﾞｼｯｸM-PRO" panose="020F0600000000000000" pitchFamily="50" charset="-128"/>
              <a:ea typeface="HG丸ｺﾞｼｯｸM-PRO" panose="020F0600000000000000" pitchFamily="50" charset="-128"/>
            </a:rPr>
            <a:t>給与収入</a:t>
          </a:r>
          <a:endParaRPr kumimoji="1" lang="en-US" altLang="ja-JP" sz="1600" baseline="0">
            <a:latin typeface="HG丸ｺﾞｼｯｸM-PRO" panose="020F0600000000000000" pitchFamily="50" charset="-128"/>
            <a:ea typeface="HG丸ｺﾞｼｯｸM-PRO" panose="020F0600000000000000" pitchFamily="50" charset="-128"/>
          </a:endParaRPr>
        </a:p>
        <a:p>
          <a:pPr algn="ctr"/>
          <a:r>
            <a:rPr kumimoji="1" lang="ja-JP" altLang="en-US" sz="1600" baseline="0">
              <a:latin typeface="HG丸ｺﾞｼｯｸM-PRO" panose="020F0600000000000000" pitchFamily="50" charset="-128"/>
              <a:ea typeface="HG丸ｺﾞｼｯｸM-PRO" panose="020F0600000000000000" pitchFamily="50" charset="-128"/>
            </a:rPr>
            <a:t>のみ</a:t>
          </a:r>
          <a:endParaRPr kumimoji="1" lang="en-US" altLang="ja-JP" sz="16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555811</xdr:colOff>
      <xdr:row>6</xdr:row>
      <xdr:rowOff>145677</xdr:rowOff>
    </xdr:from>
    <xdr:to>
      <xdr:col>5</xdr:col>
      <xdr:colOff>628693</xdr:colOff>
      <xdr:row>12</xdr:row>
      <xdr:rowOff>37148</xdr:rowOff>
    </xdr:to>
    <xdr:sp macro="" textlink="">
      <xdr:nvSpPr>
        <xdr:cNvPr id="13" name="角丸四角形 12">
          <a:extLst>
            <a:ext uri="{FF2B5EF4-FFF2-40B4-BE49-F238E27FC236}">
              <a16:creationId xmlns:a16="http://schemas.microsoft.com/office/drawing/2014/main" id="{790F31B9-AF08-4A9E-AA0C-982C51AFD099}"/>
            </a:ext>
          </a:extLst>
        </xdr:cNvPr>
        <xdr:cNvSpPr/>
      </xdr:nvSpPr>
      <xdr:spPr>
        <a:xfrm>
          <a:off x="2348752" y="1221442"/>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600" baseline="0">
              <a:latin typeface="HG丸ｺﾞｼｯｸM-PRO" panose="020F0600000000000000" pitchFamily="50" charset="-128"/>
              <a:ea typeface="HG丸ｺﾞｼｯｸM-PRO" panose="020F0600000000000000" pitchFamily="50" charset="-128"/>
            </a:rPr>
            <a:t>年金収入</a:t>
          </a:r>
          <a:endParaRPr kumimoji="1" lang="en-US" altLang="ja-JP" sz="1600" baseline="0">
            <a:latin typeface="HG丸ｺﾞｼｯｸM-PRO" panose="020F0600000000000000" pitchFamily="50" charset="-128"/>
            <a:ea typeface="HG丸ｺﾞｼｯｸM-PRO" panose="020F0600000000000000" pitchFamily="50" charset="-128"/>
          </a:endParaRPr>
        </a:p>
        <a:p>
          <a:pPr algn="ctr"/>
          <a:r>
            <a:rPr kumimoji="1" lang="ja-JP" altLang="en-US" sz="1600" baseline="0">
              <a:latin typeface="HG丸ｺﾞｼｯｸM-PRO" panose="020F0600000000000000" pitchFamily="50" charset="-128"/>
              <a:ea typeface="HG丸ｺﾞｼｯｸM-PRO" panose="020F0600000000000000" pitchFamily="50" charset="-128"/>
            </a:rPr>
            <a:t>のみ</a:t>
          </a:r>
          <a:endParaRPr kumimoji="1" lang="en-US" altLang="ja-JP" sz="16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6</xdr:col>
      <xdr:colOff>394446</xdr:colOff>
      <xdr:row>6</xdr:row>
      <xdr:rowOff>155200</xdr:rowOff>
    </xdr:from>
    <xdr:to>
      <xdr:col>8</xdr:col>
      <xdr:colOff>467329</xdr:colOff>
      <xdr:row>12</xdr:row>
      <xdr:rowOff>46671</xdr:rowOff>
    </xdr:to>
    <xdr:sp macro="" textlink="">
      <xdr:nvSpPr>
        <xdr:cNvPr id="14" name="角丸四角形 13">
          <a:extLst>
            <a:ext uri="{FF2B5EF4-FFF2-40B4-BE49-F238E27FC236}">
              <a16:creationId xmlns:a16="http://schemas.microsoft.com/office/drawing/2014/main" id="{66D4FDC2-FC1F-4AA6-B684-E0F73F092B5C}"/>
            </a:ext>
          </a:extLst>
        </xdr:cNvPr>
        <xdr:cNvSpPr/>
      </xdr:nvSpPr>
      <xdr:spPr>
        <a:xfrm>
          <a:off x="4238064" y="1230965"/>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latin typeface="HG丸ｺﾞｼｯｸM-PRO" panose="020F0600000000000000" pitchFamily="50" charset="-128"/>
              <a:ea typeface="HG丸ｺﾞｼｯｸM-PRO" panose="020F0600000000000000" pitchFamily="50" charset="-128"/>
            </a:rPr>
            <a:t>営業、農業などの</a:t>
          </a:r>
          <a:endParaRPr kumimoji="1" lang="en-US" altLang="ja-JP" sz="1050" baseline="0">
            <a:latin typeface="HG丸ｺﾞｼｯｸM-PRO" panose="020F0600000000000000" pitchFamily="50" charset="-128"/>
            <a:ea typeface="HG丸ｺﾞｼｯｸM-PRO" panose="020F0600000000000000" pitchFamily="50" charset="-128"/>
          </a:endParaRPr>
        </a:p>
        <a:p>
          <a:pPr algn="ctr"/>
          <a:r>
            <a:rPr kumimoji="1" lang="ja-JP" altLang="en-US" sz="1050" baseline="0">
              <a:latin typeface="HG丸ｺﾞｼｯｸM-PRO" panose="020F0600000000000000" pitchFamily="50" charset="-128"/>
              <a:ea typeface="HG丸ｺﾞｼｯｸM-PRO" panose="020F0600000000000000" pitchFamily="50" charset="-128"/>
            </a:rPr>
            <a:t>事業所得がある</a:t>
          </a:r>
          <a:endParaRPr kumimoji="1" lang="en-US" altLang="ja-JP" sz="105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8</xdr:col>
      <xdr:colOff>636493</xdr:colOff>
      <xdr:row>6</xdr:row>
      <xdr:rowOff>150718</xdr:rowOff>
    </xdr:from>
    <xdr:to>
      <xdr:col>10</xdr:col>
      <xdr:colOff>630934</xdr:colOff>
      <xdr:row>12</xdr:row>
      <xdr:rowOff>42189</xdr:rowOff>
    </xdr:to>
    <xdr:sp macro="" textlink="">
      <xdr:nvSpPr>
        <xdr:cNvPr id="15" name="角丸四角形 14">
          <a:extLst>
            <a:ext uri="{FF2B5EF4-FFF2-40B4-BE49-F238E27FC236}">
              <a16:creationId xmlns:a16="http://schemas.microsoft.com/office/drawing/2014/main" id="{537E6EC6-4A8E-4260-80B0-0FE2218FD398}"/>
            </a:ext>
          </a:extLst>
        </xdr:cNvPr>
        <xdr:cNvSpPr/>
      </xdr:nvSpPr>
      <xdr:spPr>
        <a:xfrm>
          <a:off x="5847228" y="1226483"/>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latin typeface="HG丸ｺﾞｼｯｸM-PRO" panose="020F0600000000000000" pitchFamily="50" charset="-128"/>
              <a:ea typeface="HG丸ｺﾞｼｯｸM-PRO" panose="020F0600000000000000" pitchFamily="50" charset="-128"/>
            </a:rPr>
            <a:t>給与と年金など、</a:t>
          </a:r>
          <a:endParaRPr kumimoji="1" lang="en-US" altLang="ja-JP" sz="1000" baseline="0">
            <a:latin typeface="HG丸ｺﾞｼｯｸM-PRO" panose="020F0600000000000000" pitchFamily="50" charset="-128"/>
            <a:ea typeface="HG丸ｺﾞｼｯｸM-PRO" panose="020F0600000000000000" pitchFamily="50" charset="-128"/>
          </a:endParaRPr>
        </a:p>
        <a:p>
          <a:pPr algn="ctr"/>
          <a:r>
            <a:rPr kumimoji="1" lang="ja-JP" altLang="en-US" sz="1000" baseline="0">
              <a:latin typeface="HG丸ｺﾞｼｯｸM-PRO" panose="020F0600000000000000" pitchFamily="50" charset="-128"/>
              <a:ea typeface="HG丸ｺﾞｼｯｸM-PRO" panose="020F0600000000000000" pitchFamily="50" charset="-128"/>
            </a:rPr>
            <a:t>複数の所得があった</a:t>
          </a:r>
          <a:endParaRPr kumimoji="1" lang="en-US" altLang="ja-JP" sz="10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11</xdr:col>
      <xdr:colOff>233081</xdr:colOff>
      <xdr:row>6</xdr:row>
      <xdr:rowOff>156880</xdr:rowOff>
    </xdr:from>
    <xdr:to>
      <xdr:col>13</xdr:col>
      <xdr:colOff>305963</xdr:colOff>
      <xdr:row>12</xdr:row>
      <xdr:rowOff>48351</xdr:rowOff>
    </xdr:to>
    <xdr:sp macro="" textlink="">
      <xdr:nvSpPr>
        <xdr:cNvPr id="16" name="角丸四角形 15">
          <a:extLst>
            <a:ext uri="{FF2B5EF4-FFF2-40B4-BE49-F238E27FC236}">
              <a16:creationId xmlns:a16="http://schemas.microsoft.com/office/drawing/2014/main" id="{7D194081-D63E-4EB2-BB9C-73EF79CB9924}"/>
            </a:ext>
          </a:extLst>
        </xdr:cNvPr>
        <xdr:cNvSpPr/>
      </xdr:nvSpPr>
      <xdr:spPr>
        <a:xfrm>
          <a:off x="7572934" y="1232645"/>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50" baseline="0">
              <a:latin typeface="HG丸ｺﾞｼｯｸM-PRO" panose="020F0600000000000000" pitchFamily="50" charset="-128"/>
              <a:ea typeface="HG丸ｺﾞｼｯｸM-PRO" panose="020F0600000000000000" pitchFamily="50" charset="-128"/>
            </a:rPr>
            <a:t>事業所得があり、</a:t>
          </a:r>
          <a:endParaRPr kumimoji="1" lang="en-US" altLang="ja-JP" sz="1050" baseline="0">
            <a:latin typeface="HG丸ｺﾞｼｯｸM-PRO" panose="020F0600000000000000" pitchFamily="50" charset="-128"/>
            <a:ea typeface="HG丸ｺﾞｼｯｸM-PRO" panose="020F0600000000000000" pitchFamily="50" charset="-128"/>
          </a:endParaRPr>
        </a:p>
        <a:p>
          <a:pPr algn="ctr"/>
          <a:r>
            <a:rPr kumimoji="1" lang="ja-JP" altLang="en-US" sz="1050" baseline="0">
              <a:latin typeface="HG丸ｺﾞｼｯｸM-PRO" panose="020F0600000000000000" pitchFamily="50" charset="-128"/>
              <a:ea typeface="HG丸ｺﾞｼｯｸM-PRO" panose="020F0600000000000000" pitchFamily="50" charset="-128"/>
            </a:rPr>
            <a:t>専従者控除がある</a:t>
          </a:r>
          <a:endParaRPr kumimoji="1" lang="en-US" altLang="ja-JP" sz="105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14</xdr:col>
      <xdr:colOff>1606921</xdr:colOff>
      <xdr:row>6</xdr:row>
      <xdr:rowOff>142875</xdr:rowOff>
    </xdr:from>
    <xdr:to>
      <xdr:col>17</xdr:col>
      <xdr:colOff>21332</xdr:colOff>
      <xdr:row>12</xdr:row>
      <xdr:rowOff>34346</xdr:rowOff>
    </xdr:to>
    <xdr:sp macro="" textlink="">
      <xdr:nvSpPr>
        <xdr:cNvPr id="17" name="角丸四角形 16">
          <a:extLst>
            <a:ext uri="{FF2B5EF4-FFF2-40B4-BE49-F238E27FC236}">
              <a16:creationId xmlns:a16="http://schemas.microsoft.com/office/drawing/2014/main" id="{CA147E5B-7738-4517-9674-5BD7DF943491}"/>
            </a:ext>
          </a:extLst>
        </xdr:cNvPr>
        <xdr:cNvSpPr/>
      </xdr:nvSpPr>
      <xdr:spPr>
        <a:xfrm>
          <a:off x="10997450" y="1218640"/>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400" baseline="0">
              <a:latin typeface="HG丸ｺﾞｼｯｸM-PRO" panose="020F0600000000000000" pitchFamily="50" charset="-128"/>
              <a:ea typeface="HG丸ｺﾞｼｯｸM-PRO" panose="020F0600000000000000" pitchFamily="50" charset="-128"/>
            </a:rPr>
            <a:t>収入が</a:t>
          </a:r>
          <a:endParaRPr kumimoji="1" lang="en-US" altLang="ja-JP" sz="1400" baseline="0">
            <a:latin typeface="HG丸ｺﾞｼｯｸM-PRO" panose="020F0600000000000000" pitchFamily="50" charset="-128"/>
            <a:ea typeface="HG丸ｺﾞｼｯｸM-PRO" panose="020F0600000000000000" pitchFamily="50" charset="-128"/>
          </a:endParaRPr>
        </a:p>
        <a:p>
          <a:pPr algn="ctr"/>
          <a:r>
            <a:rPr kumimoji="1" lang="ja-JP" altLang="en-US" sz="1400" baseline="0">
              <a:latin typeface="HG丸ｺﾞｼｯｸM-PRO" panose="020F0600000000000000" pitchFamily="50" charset="-128"/>
              <a:ea typeface="HG丸ｺﾞｼｯｸM-PRO" panose="020F0600000000000000" pitchFamily="50" charset="-128"/>
            </a:rPr>
            <a:t>なかった</a:t>
          </a:r>
          <a:endParaRPr kumimoji="1" lang="en-US" altLang="ja-JP" sz="14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562561</xdr:colOff>
      <xdr:row>12</xdr:row>
      <xdr:rowOff>30984</xdr:rowOff>
    </xdr:from>
    <xdr:to>
      <xdr:col>1</xdr:col>
      <xdr:colOff>567598</xdr:colOff>
      <xdr:row>19</xdr:row>
      <xdr:rowOff>34737</xdr:rowOff>
    </xdr:to>
    <xdr:cxnSp macro="">
      <xdr:nvCxnSpPr>
        <xdr:cNvPr id="18" name="直線矢印コネクタ 17">
          <a:extLst>
            <a:ext uri="{FF2B5EF4-FFF2-40B4-BE49-F238E27FC236}">
              <a16:creationId xmlns:a16="http://schemas.microsoft.com/office/drawing/2014/main" id="{2F20885F-51CB-471D-BC04-895AA42C00AB}"/>
            </a:ext>
          </a:extLst>
        </xdr:cNvPr>
        <xdr:cNvCxnSpPr>
          <a:stCxn id="12" idx="2"/>
          <a:endCxn id="19" idx="0"/>
        </xdr:cNvCxnSpPr>
      </xdr:nvCxnSpPr>
      <xdr:spPr>
        <a:xfrm flipH="1">
          <a:off x="988385" y="2115278"/>
          <a:ext cx="5037" cy="118037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124385</xdr:colOff>
      <xdr:row>19</xdr:row>
      <xdr:rowOff>34737</xdr:rowOff>
    </xdr:from>
    <xdr:to>
      <xdr:col>3</xdr:col>
      <xdr:colOff>59444</xdr:colOff>
      <xdr:row>28</xdr:row>
      <xdr:rowOff>141943</xdr:rowOff>
    </xdr:to>
    <xdr:sp macro="" textlink="">
      <xdr:nvSpPr>
        <xdr:cNvPr id="19" name="正方形/長方形 18">
          <a:extLst>
            <a:ext uri="{FF2B5EF4-FFF2-40B4-BE49-F238E27FC236}">
              <a16:creationId xmlns:a16="http://schemas.microsoft.com/office/drawing/2014/main" id="{668A2413-23FC-4E8B-8380-F3AB0F266BC2}"/>
            </a:ext>
          </a:extLst>
        </xdr:cNvPr>
        <xdr:cNvSpPr/>
      </xdr:nvSpPr>
      <xdr:spPr>
        <a:xfrm>
          <a:off x="124385" y="3295649"/>
          <a:ext cx="1728000" cy="16200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源泉徴収票</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見本①</a:t>
          </a:r>
          <a:endParaRPr kumimoji="1" lang="en-US" altLang="ja-JP" sz="1000">
            <a:latin typeface="HG丸ｺﾞｼｯｸM-PRO" panose="020F0600000000000000" pitchFamily="50" charset="-128"/>
            <a:ea typeface="HG丸ｺﾞｼｯｸM-PRO" panose="020F0600000000000000" pitchFamily="50" charset="-128"/>
          </a:endParaRPr>
        </a:p>
        <a:p>
          <a:pPr algn="ctr"/>
          <a:endParaRPr kumimoji="1" lang="en-US" altLang="ja-JP" sz="1000">
            <a:latin typeface="HG丸ｺﾞｼｯｸM-PRO" panose="020F0600000000000000" pitchFamily="50" charset="-128"/>
            <a:ea typeface="HG丸ｺﾞｼｯｸM-PRO" panose="020F0600000000000000" pitchFamily="50" charset="-128"/>
          </a:endParaRPr>
        </a:p>
        <a:p>
          <a:pPr algn="ctr"/>
          <a:r>
            <a:rPr kumimoji="1" lang="ja-JP" altLang="en-US" sz="1000">
              <a:latin typeface="HG丸ｺﾞｼｯｸM-PRO" panose="020F0600000000000000" pitchFamily="50" charset="-128"/>
              <a:ea typeface="HG丸ｺﾞｼｯｸM-PRO" panose="020F0600000000000000" pitchFamily="50" charset="-128"/>
            </a:rPr>
            <a:t>をご用意ください。</a:t>
          </a:r>
        </a:p>
      </xdr:txBody>
    </xdr:sp>
    <xdr:clientData/>
  </xdr:twoCellAnchor>
  <xdr:twoCellAnchor>
    <xdr:from>
      <xdr:col>3</xdr:col>
      <xdr:colOff>287430</xdr:colOff>
      <xdr:row>19</xdr:row>
      <xdr:rowOff>23530</xdr:rowOff>
    </xdr:from>
    <xdr:to>
      <xdr:col>6</xdr:col>
      <xdr:colOff>235324</xdr:colOff>
      <xdr:row>28</xdr:row>
      <xdr:rowOff>130736</xdr:rowOff>
    </xdr:to>
    <xdr:sp macro="" textlink="">
      <xdr:nvSpPr>
        <xdr:cNvPr id="20" name="正方形/長方形 19">
          <a:extLst>
            <a:ext uri="{FF2B5EF4-FFF2-40B4-BE49-F238E27FC236}">
              <a16:creationId xmlns:a16="http://schemas.microsoft.com/office/drawing/2014/main" id="{E56BE1C6-89EE-47DD-9C8D-3FA5770A54DD}"/>
            </a:ext>
          </a:extLst>
        </xdr:cNvPr>
        <xdr:cNvSpPr/>
      </xdr:nvSpPr>
      <xdr:spPr>
        <a:xfrm>
          <a:off x="2080371" y="3284442"/>
          <a:ext cx="1998571" cy="16200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公的年金等の源泉徴収票</a:t>
          </a:r>
          <a:r>
            <a:rPr kumimoji="1" lang="en-US" altLang="ja-JP" sz="1000">
              <a:latin typeface="HG丸ｺﾞｼｯｸM-PRO" panose="020F0600000000000000" pitchFamily="50" charset="-128"/>
              <a:ea typeface="HG丸ｺﾞｼｯｸM-PRO" panose="020F0600000000000000" pitchFamily="50" charset="-128"/>
            </a:rPr>
            <a:t>】</a:t>
          </a:r>
        </a:p>
        <a:p>
          <a:pPr algn="ctr"/>
          <a:r>
            <a:rPr kumimoji="1" lang="ja-JP" altLang="en-US" sz="1000">
              <a:latin typeface="HG丸ｺﾞｼｯｸM-PRO" panose="020F0600000000000000" pitchFamily="50" charset="-128"/>
              <a:ea typeface="HG丸ｺﾞｼｯｸM-PRO" panose="020F0600000000000000" pitchFamily="50" charset="-128"/>
            </a:rPr>
            <a:t>　　　　　　　　　</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見本②</a:t>
          </a:r>
          <a:endParaRPr kumimoji="1" lang="en-US" altLang="ja-JP" sz="1000">
            <a:latin typeface="HG丸ｺﾞｼｯｸM-PRO" panose="020F0600000000000000" pitchFamily="50" charset="-128"/>
            <a:ea typeface="HG丸ｺﾞｼｯｸM-PRO" panose="020F0600000000000000" pitchFamily="50" charset="-128"/>
          </a:endParaRPr>
        </a:p>
        <a:p>
          <a:pPr algn="ctr"/>
          <a:endParaRPr kumimoji="1" lang="en-US" altLang="ja-JP" sz="1000">
            <a:latin typeface="HG丸ｺﾞｼｯｸM-PRO" panose="020F0600000000000000" pitchFamily="50" charset="-128"/>
            <a:ea typeface="HG丸ｺﾞｼｯｸM-PRO" panose="020F0600000000000000" pitchFamily="50" charset="-128"/>
          </a:endParaRPr>
        </a:p>
        <a:p>
          <a:pPr algn="ctr"/>
          <a:r>
            <a:rPr kumimoji="1" lang="ja-JP" altLang="en-US" sz="1000">
              <a:latin typeface="HG丸ｺﾞｼｯｸM-PRO" panose="020F0600000000000000" pitchFamily="50" charset="-128"/>
              <a:ea typeface="HG丸ｺﾞｼｯｸM-PRO" panose="020F0600000000000000" pitchFamily="50" charset="-128"/>
            </a:rPr>
            <a:t>をご用意ください。</a:t>
          </a:r>
        </a:p>
      </xdr:txBody>
    </xdr:sp>
    <xdr:clientData/>
  </xdr:twoCellAnchor>
  <xdr:twoCellAnchor>
    <xdr:from>
      <xdr:col>6</xdr:col>
      <xdr:colOff>538441</xdr:colOff>
      <xdr:row>19</xdr:row>
      <xdr:rowOff>36417</xdr:rowOff>
    </xdr:from>
    <xdr:to>
      <xdr:col>10</xdr:col>
      <xdr:colOff>605765</xdr:colOff>
      <xdr:row>28</xdr:row>
      <xdr:rowOff>143623</xdr:rowOff>
    </xdr:to>
    <xdr:sp macro="" textlink="">
      <xdr:nvSpPr>
        <xdr:cNvPr id="21" name="正方形/長方形 20">
          <a:extLst>
            <a:ext uri="{FF2B5EF4-FFF2-40B4-BE49-F238E27FC236}">
              <a16:creationId xmlns:a16="http://schemas.microsoft.com/office/drawing/2014/main" id="{351C8B08-2DA2-43CA-B4E3-D206D6CBD4D5}"/>
            </a:ext>
          </a:extLst>
        </xdr:cNvPr>
        <xdr:cNvSpPr/>
      </xdr:nvSpPr>
      <xdr:spPr>
        <a:xfrm>
          <a:off x="4382059" y="3297329"/>
          <a:ext cx="2880000" cy="162000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確定申告書</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　</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見本③</a:t>
          </a:r>
          <a:endParaRPr kumimoji="1" lang="en-US" altLang="ja-JP" sz="1000">
            <a:latin typeface="HG丸ｺﾞｼｯｸM-PRO" panose="020F0600000000000000" pitchFamily="50" charset="-128"/>
            <a:ea typeface="HG丸ｺﾞｼｯｸM-PRO" panose="020F0600000000000000" pitchFamily="50" charset="-128"/>
          </a:endParaRPr>
        </a:p>
        <a:p>
          <a:pPr algn="ctr"/>
          <a:r>
            <a:rPr kumimoji="1" lang="ja-JP" altLang="en-US" sz="1000">
              <a:latin typeface="HG丸ｺﾞｼｯｸM-PRO" panose="020F0600000000000000" pitchFamily="50" charset="-128"/>
              <a:ea typeface="HG丸ｺﾞｼｯｸM-PRO" panose="020F0600000000000000" pitchFamily="50" charset="-128"/>
            </a:rPr>
            <a:t>または</a:t>
          </a:r>
          <a:endParaRPr kumimoji="1" lang="en-US" altLang="ja-JP" sz="1000">
            <a:latin typeface="HG丸ｺﾞｼｯｸM-PRO" panose="020F0600000000000000" pitchFamily="50" charset="-128"/>
            <a:ea typeface="HG丸ｺﾞｼｯｸM-PRO" panose="020F0600000000000000" pitchFamily="50" charset="-128"/>
          </a:endParaRPr>
        </a:p>
        <a:p>
          <a:pPr algn="ct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市民税県民税申告書控</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　　</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見本④</a:t>
          </a:r>
          <a:endParaRPr kumimoji="1" lang="en-US" altLang="ja-JP" sz="1000">
            <a:latin typeface="HG丸ｺﾞｼｯｸM-PRO" panose="020F0600000000000000" pitchFamily="50" charset="-128"/>
            <a:ea typeface="HG丸ｺﾞｼｯｸM-PRO" panose="020F0600000000000000" pitchFamily="50" charset="-128"/>
          </a:endParaRPr>
        </a:p>
        <a:p>
          <a:pPr algn="ctr"/>
          <a:endParaRPr kumimoji="1" lang="en-US" altLang="ja-JP" sz="1000">
            <a:latin typeface="HG丸ｺﾞｼｯｸM-PRO" panose="020F0600000000000000" pitchFamily="50" charset="-128"/>
            <a:ea typeface="HG丸ｺﾞｼｯｸM-PRO" panose="020F0600000000000000" pitchFamily="50" charset="-128"/>
          </a:endParaRPr>
        </a:p>
        <a:p>
          <a:pPr algn="ctr"/>
          <a:r>
            <a:rPr kumimoji="1" lang="ja-JP" altLang="en-US" sz="1000">
              <a:latin typeface="HG丸ｺﾞｼｯｸM-PRO" panose="020F0600000000000000" pitchFamily="50" charset="-128"/>
              <a:ea typeface="HG丸ｺﾞｼｯｸM-PRO" panose="020F0600000000000000" pitchFamily="50" charset="-128"/>
            </a:rPr>
            <a:t>をご用意ください。</a:t>
          </a:r>
        </a:p>
      </xdr:txBody>
    </xdr:sp>
    <xdr:clientData/>
  </xdr:twoCellAnchor>
  <xdr:twoCellAnchor>
    <xdr:from>
      <xdr:col>11</xdr:col>
      <xdr:colOff>170889</xdr:colOff>
      <xdr:row>26</xdr:row>
      <xdr:rowOff>50427</xdr:rowOff>
    </xdr:from>
    <xdr:to>
      <xdr:col>14</xdr:col>
      <xdr:colOff>1425948</xdr:colOff>
      <xdr:row>36</xdr:row>
      <xdr:rowOff>112059</xdr:rowOff>
    </xdr:to>
    <xdr:sp macro="" textlink="">
      <xdr:nvSpPr>
        <xdr:cNvPr id="22" name="メモ 21">
          <a:extLst>
            <a:ext uri="{FF2B5EF4-FFF2-40B4-BE49-F238E27FC236}">
              <a16:creationId xmlns:a16="http://schemas.microsoft.com/office/drawing/2014/main" id="{01145B42-EF04-4DC3-8CD6-C0D0874567FF}"/>
            </a:ext>
          </a:extLst>
        </xdr:cNvPr>
        <xdr:cNvSpPr/>
      </xdr:nvSpPr>
      <xdr:spPr>
        <a:xfrm>
          <a:off x="7510742" y="4487956"/>
          <a:ext cx="3305735" cy="1742515"/>
        </a:xfrm>
        <a:prstGeom prst="foldedCorner">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このファイルでは試算することができないため、確定申告書の控えなど、前年の収入・所得がわかるものをご用意いただいた上、窓口までお問い合わせいただくか、来庁いただくことをおすすめします。</a:t>
          </a:r>
          <a:endParaRPr kumimoji="1" lang="en-US" altLang="ja-JP" sz="1000">
            <a:latin typeface="HG丸ｺﾞｼｯｸM-PRO" panose="020F0600000000000000" pitchFamily="50" charset="-128"/>
            <a:ea typeface="HG丸ｺﾞｼｯｸM-PRO" panose="020F0600000000000000" pitchFamily="50" charset="-128"/>
          </a:endParaRPr>
        </a:p>
        <a:p>
          <a:pPr algn="l"/>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担当：盛岡市市民部健康保険課受付賦課係</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所在地：盛岡市内丸</a:t>
          </a:r>
          <a:r>
            <a:rPr kumimoji="1" lang="en-US" altLang="ja-JP" sz="1000">
              <a:latin typeface="HG丸ｺﾞｼｯｸM-PRO" panose="020F0600000000000000" pitchFamily="50" charset="-128"/>
              <a:ea typeface="HG丸ｺﾞｼｯｸM-PRO" panose="020F0600000000000000" pitchFamily="50" charset="-128"/>
            </a:rPr>
            <a:t>12-2</a:t>
          </a:r>
          <a:r>
            <a:rPr kumimoji="1" lang="ja-JP" altLang="en-US" sz="1000">
              <a:latin typeface="HG丸ｺﾞｼｯｸM-PRO" panose="020F0600000000000000" pitchFamily="50" charset="-128"/>
              <a:ea typeface="HG丸ｺﾞｼｯｸM-PRO" panose="020F0600000000000000" pitchFamily="50" charset="-128"/>
            </a:rPr>
            <a:t>　盛岡市役所別館１階</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連絡先：</a:t>
          </a:r>
          <a:r>
            <a:rPr kumimoji="1" lang="en-US" altLang="ja-JP" sz="1000">
              <a:latin typeface="HG丸ｺﾞｼｯｸM-PRO" panose="020F0600000000000000" pitchFamily="50" charset="-128"/>
              <a:ea typeface="HG丸ｺﾞｼｯｸM-PRO" panose="020F0600000000000000" pitchFamily="50" charset="-128"/>
            </a:rPr>
            <a:t>019-613-8437</a:t>
          </a:r>
          <a:r>
            <a:rPr kumimoji="1" lang="ja-JP" altLang="en-US" sz="1000">
              <a:latin typeface="HG丸ｺﾞｼｯｸM-PRO" panose="020F0600000000000000" pitchFamily="50" charset="-128"/>
              <a:ea typeface="HG丸ｺﾞｼｯｸM-PRO" panose="020F0600000000000000" pitchFamily="50" charset="-128"/>
            </a:rPr>
            <a:t>（受付賦課係直通）</a:t>
          </a:r>
        </a:p>
      </xdr:txBody>
    </xdr:sp>
    <xdr:clientData/>
  </xdr:twoCellAnchor>
  <xdr:twoCellAnchor>
    <xdr:from>
      <xdr:col>4</xdr:col>
      <xdr:colOff>592252</xdr:colOff>
      <xdr:row>12</xdr:row>
      <xdr:rowOff>37148</xdr:rowOff>
    </xdr:from>
    <xdr:to>
      <xdr:col>4</xdr:col>
      <xdr:colOff>603157</xdr:colOff>
      <xdr:row>19</xdr:row>
      <xdr:rowOff>23530</xdr:rowOff>
    </xdr:to>
    <xdr:cxnSp macro="">
      <xdr:nvCxnSpPr>
        <xdr:cNvPr id="23" name="直線矢印コネクタ 22">
          <a:extLst>
            <a:ext uri="{FF2B5EF4-FFF2-40B4-BE49-F238E27FC236}">
              <a16:creationId xmlns:a16="http://schemas.microsoft.com/office/drawing/2014/main" id="{D73E7259-D7B4-4436-A38D-78568BF858C5}"/>
            </a:ext>
          </a:extLst>
        </xdr:cNvPr>
        <xdr:cNvCxnSpPr>
          <a:stCxn id="13" idx="2"/>
          <a:endCxn id="20" idx="0"/>
        </xdr:cNvCxnSpPr>
      </xdr:nvCxnSpPr>
      <xdr:spPr>
        <a:xfrm>
          <a:off x="3068752" y="2121442"/>
          <a:ext cx="10905" cy="11630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425824</xdr:colOff>
      <xdr:row>12</xdr:row>
      <xdr:rowOff>46671</xdr:rowOff>
    </xdr:from>
    <xdr:to>
      <xdr:col>7</xdr:col>
      <xdr:colOff>430888</xdr:colOff>
      <xdr:row>19</xdr:row>
      <xdr:rowOff>22412</xdr:rowOff>
    </xdr:to>
    <xdr:cxnSp macro="">
      <xdr:nvCxnSpPr>
        <xdr:cNvPr id="24" name="直線矢印コネクタ 23">
          <a:extLst>
            <a:ext uri="{FF2B5EF4-FFF2-40B4-BE49-F238E27FC236}">
              <a16:creationId xmlns:a16="http://schemas.microsoft.com/office/drawing/2014/main" id="{19BEABEB-CAB1-4DC1-8212-BFD02C10ED41}"/>
            </a:ext>
          </a:extLst>
        </xdr:cNvPr>
        <xdr:cNvCxnSpPr>
          <a:stCxn id="14" idx="2"/>
        </xdr:cNvCxnSpPr>
      </xdr:nvCxnSpPr>
      <xdr:spPr>
        <a:xfrm flipH="1">
          <a:off x="4953000" y="2130965"/>
          <a:ext cx="5064" cy="1152359"/>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9</xdr:col>
      <xdr:colOff>672354</xdr:colOff>
      <xdr:row>12</xdr:row>
      <xdr:rowOff>42189</xdr:rowOff>
    </xdr:from>
    <xdr:to>
      <xdr:col>9</xdr:col>
      <xdr:colOff>672934</xdr:colOff>
      <xdr:row>19</xdr:row>
      <xdr:rowOff>22412</xdr:rowOff>
    </xdr:to>
    <xdr:cxnSp macro="">
      <xdr:nvCxnSpPr>
        <xdr:cNvPr id="25" name="直線矢印コネクタ 24">
          <a:extLst>
            <a:ext uri="{FF2B5EF4-FFF2-40B4-BE49-F238E27FC236}">
              <a16:creationId xmlns:a16="http://schemas.microsoft.com/office/drawing/2014/main" id="{E275FE26-3763-4DD3-9A97-BCBB194D33FA}"/>
            </a:ext>
          </a:extLst>
        </xdr:cNvPr>
        <xdr:cNvCxnSpPr>
          <a:stCxn id="15" idx="2"/>
        </xdr:cNvCxnSpPr>
      </xdr:nvCxnSpPr>
      <xdr:spPr>
        <a:xfrm flipH="1">
          <a:off x="6566648" y="2126483"/>
          <a:ext cx="580" cy="115684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12</xdr:col>
      <xdr:colOff>269522</xdr:colOff>
      <xdr:row>12</xdr:row>
      <xdr:rowOff>48351</xdr:rowOff>
    </xdr:from>
    <xdr:to>
      <xdr:col>12</xdr:col>
      <xdr:colOff>280149</xdr:colOff>
      <xdr:row>26</xdr:row>
      <xdr:rowOff>44823</xdr:rowOff>
    </xdr:to>
    <xdr:cxnSp macro="">
      <xdr:nvCxnSpPr>
        <xdr:cNvPr id="26" name="直線矢印コネクタ 25">
          <a:extLst>
            <a:ext uri="{FF2B5EF4-FFF2-40B4-BE49-F238E27FC236}">
              <a16:creationId xmlns:a16="http://schemas.microsoft.com/office/drawing/2014/main" id="{660AB00E-13C2-4F53-8066-0D6BC4288ECF}"/>
            </a:ext>
          </a:extLst>
        </xdr:cNvPr>
        <xdr:cNvCxnSpPr>
          <a:stCxn id="16" idx="2"/>
        </xdr:cNvCxnSpPr>
      </xdr:nvCxnSpPr>
      <xdr:spPr>
        <a:xfrm>
          <a:off x="8292934" y="2132645"/>
          <a:ext cx="10627" cy="2349707"/>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15</xdr:col>
      <xdr:colOff>646038</xdr:colOff>
      <xdr:row>12</xdr:row>
      <xdr:rowOff>34346</xdr:rowOff>
    </xdr:from>
    <xdr:to>
      <xdr:col>15</xdr:col>
      <xdr:colOff>653303</xdr:colOff>
      <xdr:row>17</xdr:row>
      <xdr:rowOff>76200</xdr:rowOff>
    </xdr:to>
    <xdr:cxnSp macro="">
      <xdr:nvCxnSpPr>
        <xdr:cNvPr id="30" name="直線矢印コネクタ 29">
          <a:extLst>
            <a:ext uri="{FF2B5EF4-FFF2-40B4-BE49-F238E27FC236}">
              <a16:creationId xmlns:a16="http://schemas.microsoft.com/office/drawing/2014/main" id="{7CF4DD10-6F0F-42D3-841B-C60743DC44A7}"/>
            </a:ext>
          </a:extLst>
        </xdr:cNvPr>
        <xdr:cNvCxnSpPr>
          <a:stCxn id="17" idx="2"/>
          <a:endCxn id="31" idx="0"/>
        </xdr:cNvCxnSpPr>
      </xdr:nvCxnSpPr>
      <xdr:spPr>
        <a:xfrm>
          <a:off x="11717450" y="2118640"/>
          <a:ext cx="7265" cy="88229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14</xdr:col>
      <xdr:colOff>1014693</xdr:colOff>
      <xdr:row>17</xdr:row>
      <xdr:rowOff>76200</xdr:rowOff>
    </xdr:from>
    <xdr:to>
      <xdr:col>17</xdr:col>
      <xdr:colOff>628090</xdr:colOff>
      <xdr:row>24</xdr:row>
      <xdr:rowOff>152399</xdr:rowOff>
    </xdr:to>
    <xdr:sp macro="" textlink="">
      <xdr:nvSpPr>
        <xdr:cNvPr id="31" name="正方形/長方形 30">
          <a:extLst>
            <a:ext uri="{FF2B5EF4-FFF2-40B4-BE49-F238E27FC236}">
              <a16:creationId xmlns:a16="http://schemas.microsoft.com/office/drawing/2014/main" id="{BCA57FC0-7B33-42FE-8234-C372868135FC}"/>
            </a:ext>
          </a:extLst>
        </xdr:cNvPr>
        <xdr:cNvSpPr/>
      </xdr:nvSpPr>
      <xdr:spPr>
        <a:xfrm>
          <a:off x="10405222" y="3000935"/>
          <a:ext cx="2638986" cy="1252817"/>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kumimoji="1" lang="ja-JP" altLang="en-US" sz="900">
              <a:latin typeface="HG丸ｺﾞｼｯｸM-PRO" panose="020F0600000000000000" pitchFamily="50" charset="-128"/>
              <a:ea typeface="HG丸ｺﾞｼｯｸM-PRO" panose="020F0600000000000000" pitchFamily="50" charset="-128"/>
            </a:rPr>
            <a:t>所得資料を準備いただく必要はありませんが</a:t>
          </a:r>
          <a:endParaRPr kumimoji="1" lang="en-US" altLang="ja-JP" sz="900">
            <a:latin typeface="HG丸ｺﾞｼｯｸM-PRO" panose="020F0600000000000000" pitchFamily="50" charset="-128"/>
            <a:ea typeface="HG丸ｺﾞｼｯｸM-PRO" panose="020F0600000000000000" pitchFamily="50" charset="-128"/>
          </a:endParaRPr>
        </a:p>
        <a:p>
          <a:pPr algn="l"/>
          <a:endParaRPr kumimoji="1" lang="en-US" altLang="ja-JP" sz="900">
            <a:latin typeface="HG丸ｺﾞｼｯｸM-PRO" panose="020F0600000000000000" pitchFamily="50" charset="-128"/>
            <a:ea typeface="HG丸ｺﾞｼｯｸM-PRO" panose="020F0600000000000000" pitchFamily="50" charset="-128"/>
          </a:endParaRPr>
        </a:p>
        <a:p>
          <a:pPr algn="l"/>
          <a:r>
            <a:rPr kumimoji="1" lang="ja-JP" altLang="en-US" sz="900">
              <a:latin typeface="HG丸ｺﾞｼｯｸM-PRO" panose="020F0600000000000000" pitchFamily="50" charset="-128"/>
              <a:ea typeface="HG丸ｺﾞｼｯｸM-PRO" panose="020F0600000000000000" pitchFamily="50" charset="-128"/>
            </a:rPr>
            <a:t>・どなたかの扶養として申告済みである</a:t>
          </a:r>
          <a:endParaRPr kumimoji="1" lang="en-US" altLang="ja-JP" sz="900">
            <a:latin typeface="HG丸ｺﾞｼｯｸM-PRO" panose="020F0600000000000000" pitchFamily="50" charset="-128"/>
            <a:ea typeface="HG丸ｺﾞｼｯｸM-PRO" panose="020F0600000000000000" pitchFamily="50" charset="-128"/>
          </a:endParaRPr>
        </a:p>
        <a:p>
          <a:pPr algn="l"/>
          <a:r>
            <a:rPr kumimoji="1" lang="ja-JP" altLang="en-US" sz="900">
              <a:latin typeface="HG丸ｺﾞｼｯｸM-PRO" panose="020F0600000000000000" pitchFamily="50" charset="-128"/>
              <a:ea typeface="HG丸ｺﾞｼｯｸM-PRO" panose="020F0600000000000000" pitchFamily="50" charset="-128"/>
            </a:rPr>
            <a:t>・無収入の申告を行っている</a:t>
          </a:r>
          <a:endParaRPr kumimoji="1" lang="en-US" altLang="ja-JP" sz="900">
            <a:latin typeface="HG丸ｺﾞｼｯｸM-PRO" panose="020F0600000000000000" pitchFamily="50" charset="-128"/>
            <a:ea typeface="HG丸ｺﾞｼｯｸM-PRO" panose="020F0600000000000000" pitchFamily="50" charset="-128"/>
          </a:endParaRPr>
        </a:p>
        <a:p>
          <a:pPr algn="l"/>
          <a:endParaRPr kumimoji="1" lang="en-US" altLang="ja-JP" sz="900">
            <a:latin typeface="HG丸ｺﾞｼｯｸM-PRO" panose="020F0600000000000000" pitchFamily="50" charset="-128"/>
            <a:ea typeface="HG丸ｺﾞｼｯｸM-PRO" panose="020F0600000000000000" pitchFamily="50" charset="-128"/>
          </a:endParaRPr>
        </a:p>
        <a:p>
          <a:pPr algn="l"/>
          <a:r>
            <a:rPr kumimoji="1" lang="ja-JP" altLang="en-US" sz="900">
              <a:latin typeface="HG丸ｺﾞｼｯｸM-PRO" panose="020F0600000000000000" pitchFamily="50" charset="-128"/>
              <a:ea typeface="HG丸ｺﾞｼｯｸM-PRO" panose="020F0600000000000000" pitchFamily="50" charset="-128"/>
            </a:rPr>
            <a:t>のいずれかであるかどうかご確認ください。</a:t>
          </a:r>
        </a:p>
      </xdr:txBody>
    </xdr:sp>
    <xdr:clientData/>
  </xdr:twoCellAnchor>
  <xdr:twoCellAnchor>
    <xdr:from>
      <xdr:col>13</xdr:col>
      <xdr:colOff>504265</xdr:colOff>
      <xdr:row>6</xdr:row>
      <xdr:rowOff>161923</xdr:rowOff>
    </xdr:from>
    <xdr:to>
      <xdr:col>14</xdr:col>
      <xdr:colOff>1260707</xdr:colOff>
      <xdr:row>12</xdr:row>
      <xdr:rowOff>53394</xdr:rowOff>
    </xdr:to>
    <xdr:sp macro="" textlink="">
      <xdr:nvSpPr>
        <xdr:cNvPr id="32" name="角丸四角形 33">
          <a:extLst>
            <a:ext uri="{FF2B5EF4-FFF2-40B4-BE49-F238E27FC236}">
              <a16:creationId xmlns:a16="http://schemas.microsoft.com/office/drawing/2014/main" id="{7425D1C5-5E18-4F1E-A611-F5D523EEA5FF}"/>
            </a:ext>
          </a:extLst>
        </xdr:cNvPr>
        <xdr:cNvSpPr/>
      </xdr:nvSpPr>
      <xdr:spPr>
        <a:xfrm>
          <a:off x="9211236" y="1237688"/>
          <a:ext cx="1440000" cy="900000"/>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kumimoji="1" lang="ja-JP" altLang="en-US" sz="1000" baseline="0">
              <a:latin typeface="HG丸ｺﾞｼｯｸM-PRO" panose="020F0600000000000000" pitchFamily="50" charset="-128"/>
              <a:ea typeface="HG丸ｺﾞｼｯｸM-PRO" panose="020F0600000000000000" pitchFamily="50" charset="-128"/>
            </a:rPr>
            <a:t>通常の所得のほかに、譲渡所得などの</a:t>
          </a:r>
          <a:endParaRPr kumimoji="1" lang="en-US" altLang="ja-JP" sz="1000" baseline="0">
            <a:latin typeface="HG丸ｺﾞｼｯｸM-PRO" panose="020F0600000000000000" pitchFamily="50" charset="-128"/>
            <a:ea typeface="HG丸ｺﾞｼｯｸM-PRO" panose="020F0600000000000000" pitchFamily="50" charset="-128"/>
          </a:endParaRPr>
        </a:p>
        <a:p>
          <a:pPr algn="ctr"/>
          <a:r>
            <a:rPr kumimoji="1" lang="ja-JP" altLang="en-US" sz="1000" baseline="0">
              <a:latin typeface="HG丸ｺﾞｼｯｸM-PRO" panose="020F0600000000000000" pitchFamily="50" charset="-128"/>
              <a:ea typeface="HG丸ｺﾞｼｯｸM-PRO" panose="020F0600000000000000" pitchFamily="50" charset="-128"/>
            </a:rPr>
            <a:t>分離申告を行った</a:t>
          </a:r>
          <a:endParaRPr kumimoji="1" lang="en-US" altLang="ja-JP" sz="1000" baseline="0">
            <a:latin typeface="HG丸ｺﾞｼｯｸM-PRO" panose="020F0600000000000000" pitchFamily="50" charset="-128"/>
            <a:ea typeface="HG丸ｺﾞｼｯｸM-PRO" panose="020F0600000000000000" pitchFamily="50" charset="-128"/>
          </a:endParaRPr>
        </a:p>
      </xdr:txBody>
    </xdr:sp>
    <xdr:clientData/>
  </xdr:twoCellAnchor>
  <xdr:twoCellAnchor>
    <xdr:from>
      <xdr:col>14</xdr:col>
      <xdr:colOff>540707</xdr:colOff>
      <xdr:row>12</xdr:row>
      <xdr:rowOff>53394</xdr:rowOff>
    </xdr:from>
    <xdr:to>
      <xdr:col>14</xdr:col>
      <xdr:colOff>560295</xdr:colOff>
      <xdr:row>26</xdr:row>
      <xdr:rowOff>56030</xdr:rowOff>
    </xdr:to>
    <xdr:cxnSp macro="">
      <xdr:nvCxnSpPr>
        <xdr:cNvPr id="33" name="直線矢印コネクタ 32">
          <a:extLst>
            <a:ext uri="{FF2B5EF4-FFF2-40B4-BE49-F238E27FC236}">
              <a16:creationId xmlns:a16="http://schemas.microsoft.com/office/drawing/2014/main" id="{E71F732F-6633-4E74-B47C-5A843DAF60E2}"/>
            </a:ext>
          </a:extLst>
        </xdr:cNvPr>
        <xdr:cNvCxnSpPr>
          <a:stCxn id="32" idx="2"/>
        </xdr:cNvCxnSpPr>
      </xdr:nvCxnSpPr>
      <xdr:spPr>
        <a:xfrm>
          <a:off x="9931236" y="2137688"/>
          <a:ext cx="19588" cy="2355871"/>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299504</xdr:colOff>
      <xdr:row>45</xdr:row>
      <xdr:rowOff>37539</xdr:rowOff>
    </xdr:from>
    <xdr:to>
      <xdr:col>15</xdr:col>
      <xdr:colOff>17930</xdr:colOff>
      <xdr:row>65</xdr:row>
      <xdr:rowOff>2</xdr:rowOff>
    </xdr:to>
    <xdr:grpSp>
      <xdr:nvGrpSpPr>
        <xdr:cNvPr id="49" name="グループ化 48">
          <a:extLst>
            <a:ext uri="{FF2B5EF4-FFF2-40B4-BE49-F238E27FC236}">
              <a16:creationId xmlns:a16="http://schemas.microsoft.com/office/drawing/2014/main" id="{24021DED-4B4C-4884-A231-A84B916D6DE8}"/>
            </a:ext>
          </a:extLst>
        </xdr:cNvPr>
        <xdr:cNvGrpSpPr/>
      </xdr:nvGrpSpPr>
      <xdr:grpSpPr>
        <a:xfrm>
          <a:off x="734933" y="8310682"/>
          <a:ext cx="10318390" cy="4316749"/>
          <a:chOff x="120210" y="8643656"/>
          <a:chExt cx="10364014" cy="4444816"/>
        </a:xfrm>
      </xdr:grpSpPr>
      <xdr:pic>
        <xdr:nvPicPr>
          <xdr:cNvPr id="45" name="図 44">
            <a:extLst>
              <a:ext uri="{FF2B5EF4-FFF2-40B4-BE49-F238E27FC236}">
                <a16:creationId xmlns:a16="http://schemas.microsoft.com/office/drawing/2014/main" id="{DBAF89E3-A9C9-4F17-8B75-09D12261F007}"/>
              </a:ext>
            </a:extLst>
          </xdr:cNvPr>
          <xdr:cNvPicPr>
            <a:picLocks noChangeAspect="1"/>
          </xdr:cNvPicPr>
        </xdr:nvPicPr>
        <xdr:blipFill rotWithShape="1">
          <a:blip xmlns:r="http://schemas.openxmlformats.org/officeDocument/2006/relationships" r:embed="rId2"/>
          <a:srcRect l="14493" t="7939" r="50686" b="39253"/>
          <a:stretch/>
        </xdr:blipFill>
        <xdr:spPr>
          <a:xfrm>
            <a:off x="120210" y="8789488"/>
            <a:ext cx="5224969" cy="4298984"/>
          </a:xfrm>
          <a:prstGeom prst="rect">
            <a:avLst/>
          </a:prstGeom>
        </xdr:spPr>
      </xdr:pic>
      <xdr:sp macro="" textlink="">
        <xdr:nvSpPr>
          <xdr:cNvPr id="5" name="円/楕円 3">
            <a:extLst>
              <a:ext uri="{FF2B5EF4-FFF2-40B4-BE49-F238E27FC236}">
                <a16:creationId xmlns:a16="http://schemas.microsoft.com/office/drawing/2014/main" id="{A5BAB19F-870A-4813-9939-1CA5E34D500F}"/>
              </a:ext>
            </a:extLst>
          </xdr:cNvPr>
          <xdr:cNvSpPr/>
        </xdr:nvSpPr>
        <xdr:spPr>
          <a:xfrm>
            <a:off x="2269902" y="9823167"/>
            <a:ext cx="1125479" cy="59830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角丸四角形吹き出し 35">
            <a:extLst>
              <a:ext uri="{FF2B5EF4-FFF2-40B4-BE49-F238E27FC236}">
                <a16:creationId xmlns:a16="http://schemas.microsoft.com/office/drawing/2014/main" id="{444CB855-A816-4D56-920D-B2FDB057F65E}"/>
              </a:ext>
            </a:extLst>
          </xdr:cNvPr>
          <xdr:cNvSpPr/>
        </xdr:nvSpPr>
        <xdr:spPr>
          <a:xfrm>
            <a:off x="5558679" y="8643656"/>
            <a:ext cx="4925545" cy="3184152"/>
          </a:xfrm>
          <a:prstGeom prst="wedgeRoundRectCallout">
            <a:avLst>
              <a:gd name="adj1" fmla="val -91673"/>
              <a:gd name="adj2" fmla="val 174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給与所得の源泉徴収票の</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「給与所得控除後の金額」が給与所得金額になります。</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こちらの金額を試算シートに入力してください。</a:t>
            </a:r>
            <a:endParaRPr kumimoji="1" lang="en-US" altLang="ja-JP" sz="1000">
              <a:latin typeface="HG丸ｺﾞｼｯｸM-PRO" panose="020F0600000000000000" pitchFamily="50" charset="-128"/>
              <a:ea typeface="HG丸ｺﾞｼｯｸM-PRO" panose="020F0600000000000000" pitchFamily="50" charset="-128"/>
            </a:endParaRPr>
          </a:p>
          <a:p>
            <a:pPr algn="l"/>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この欄に数字の記載がない場合には試算シートで計算ができませんので</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担当課までお問い合わせください。</a:t>
            </a:r>
            <a:endParaRPr kumimoji="1" lang="en-US" altLang="ja-JP" sz="1000">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1</xdr:col>
      <xdr:colOff>38099</xdr:colOff>
      <xdr:row>69</xdr:row>
      <xdr:rowOff>65559</xdr:rowOff>
    </xdr:from>
    <xdr:to>
      <xdr:col>14</xdr:col>
      <xdr:colOff>848284</xdr:colOff>
      <xdr:row>80</xdr:row>
      <xdr:rowOff>214037</xdr:rowOff>
    </xdr:to>
    <xdr:grpSp>
      <xdr:nvGrpSpPr>
        <xdr:cNvPr id="47" name="グループ化 46">
          <a:extLst>
            <a:ext uri="{FF2B5EF4-FFF2-40B4-BE49-F238E27FC236}">
              <a16:creationId xmlns:a16="http://schemas.microsoft.com/office/drawing/2014/main" id="{70E45C54-6AD7-4309-99CD-13D5EDDBC211}"/>
            </a:ext>
          </a:extLst>
        </xdr:cNvPr>
        <xdr:cNvGrpSpPr/>
      </xdr:nvGrpSpPr>
      <xdr:grpSpPr>
        <a:xfrm>
          <a:off x="473528" y="13631880"/>
          <a:ext cx="9736470" cy="2284800"/>
          <a:chOff x="161925" y="9993245"/>
          <a:chExt cx="9775355" cy="2024487"/>
        </a:xfrm>
      </xdr:grpSpPr>
      <xdr:pic>
        <xdr:nvPicPr>
          <xdr:cNvPr id="27" name="図 26">
            <a:extLst>
              <a:ext uri="{FF2B5EF4-FFF2-40B4-BE49-F238E27FC236}">
                <a16:creationId xmlns:a16="http://schemas.microsoft.com/office/drawing/2014/main" id="{E4547A71-52A9-4239-8266-9E7A3DF85AC6}"/>
              </a:ext>
            </a:extLst>
          </xdr:cNvPr>
          <xdr:cNvPicPr>
            <a:picLocks noChangeAspect="1"/>
          </xdr:cNvPicPr>
        </xdr:nvPicPr>
        <xdr:blipFill rotWithShape="1">
          <a:blip xmlns:r="http://schemas.openxmlformats.org/officeDocument/2006/relationships" r:embed="rId3"/>
          <a:srcRect l="10627" t="19962" r="15068" b="44989"/>
          <a:stretch/>
        </xdr:blipFill>
        <xdr:spPr>
          <a:xfrm>
            <a:off x="161925" y="10071287"/>
            <a:ext cx="5401235" cy="1940859"/>
          </a:xfrm>
          <a:prstGeom prst="rect">
            <a:avLst/>
          </a:prstGeom>
        </xdr:spPr>
      </xdr:pic>
      <xdr:sp macro="" textlink="">
        <xdr:nvSpPr>
          <xdr:cNvPr id="28" name="円/楕円 38">
            <a:extLst>
              <a:ext uri="{FF2B5EF4-FFF2-40B4-BE49-F238E27FC236}">
                <a16:creationId xmlns:a16="http://schemas.microsoft.com/office/drawing/2014/main" id="{DBA00F5D-0B96-4844-A453-BADC5CF4257E}"/>
              </a:ext>
            </a:extLst>
          </xdr:cNvPr>
          <xdr:cNvSpPr/>
        </xdr:nvSpPr>
        <xdr:spPr>
          <a:xfrm>
            <a:off x="902074" y="10994090"/>
            <a:ext cx="1071842" cy="84996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角丸四角形吹き出し 36">
            <a:extLst>
              <a:ext uri="{FF2B5EF4-FFF2-40B4-BE49-F238E27FC236}">
                <a16:creationId xmlns:a16="http://schemas.microsoft.com/office/drawing/2014/main" id="{2CD4257A-2BFE-4675-B5A7-463A4313DAD9}"/>
              </a:ext>
            </a:extLst>
          </xdr:cNvPr>
          <xdr:cNvSpPr/>
        </xdr:nvSpPr>
        <xdr:spPr>
          <a:xfrm>
            <a:off x="4923075" y="9993245"/>
            <a:ext cx="5014205" cy="2024487"/>
          </a:xfrm>
          <a:prstGeom prst="wedgeRoundRectCallout">
            <a:avLst>
              <a:gd name="adj1" fmla="val -111452"/>
              <a:gd name="adj2" fmla="val 18750"/>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年金所得のある方は、所得を概算する必要があります。</a:t>
            </a:r>
            <a:endParaRPr kumimoji="1" lang="en-US" altLang="ja-JP" sz="1000">
              <a:latin typeface="HG丸ｺﾞｼｯｸM-PRO" panose="020F0600000000000000" pitchFamily="50" charset="-128"/>
              <a:ea typeface="HG丸ｺﾞｼｯｸM-PRO" panose="020F0600000000000000" pitchFamily="50" charset="-128"/>
            </a:endParaRPr>
          </a:p>
          <a:p>
            <a:pPr algn="l"/>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公的年金等の源泉徴収票の「支払金額」の部分を</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下の表の</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支払金額の合計額</a:t>
            </a:r>
            <a:r>
              <a:rPr kumimoji="1" lang="en-US" altLang="ja-JP" sz="1000">
                <a:latin typeface="HG丸ｺﾞｼｯｸM-PRO" panose="020F0600000000000000" pitchFamily="50" charset="-128"/>
                <a:ea typeface="HG丸ｺﾞｼｯｸM-PRO" panose="020F0600000000000000" pitchFamily="50" charset="-128"/>
              </a:rPr>
              <a:t>】</a:t>
            </a:r>
            <a:r>
              <a:rPr kumimoji="1" lang="ja-JP" altLang="en-US" sz="1000">
                <a:latin typeface="HG丸ｺﾞｼｯｸM-PRO" panose="020F0600000000000000" pitchFamily="50" charset="-128"/>
                <a:ea typeface="HG丸ｺﾞｼｯｸM-PRO" panose="020F0600000000000000" pitchFamily="50" charset="-128"/>
              </a:rPr>
              <a:t>へ入力し、所得金額をお調べください。</a:t>
            </a:r>
            <a:endParaRPr kumimoji="1" lang="en-US" altLang="ja-JP" sz="1000">
              <a:latin typeface="HG丸ｺﾞｼｯｸM-PRO" panose="020F0600000000000000" pitchFamily="50" charset="-128"/>
              <a:ea typeface="HG丸ｺﾞｼｯｸM-PRO" panose="020F0600000000000000" pitchFamily="50" charset="-128"/>
            </a:endParaRPr>
          </a:p>
          <a:p>
            <a:pPr algn="l"/>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複数の年金がある場合は、</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すべての公的年金収入の合計額を入力してください。</a:t>
            </a:r>
          </a:p>
        </xdr:txBody>
      </xdr:sp>
    </xdr:grpSp>
    <xdr:clientData/>
  </xdr:twoCellAnchor>
  <xdr:twoCellAnchor>
    <xdr:from>
      <xdr:col>12</xdr:col>
      <xdr:colOff>216353</xdr:colOff>
      <xdr:row>87</xdr:row>
      <xdr:rowOff>352425</xdr:rowOff>
    </xdr:from>
    <xdr:to>
      <xdr:col>16</xdr:col>
      <xdr:colOff>657225</xdr:colOff>
      <xdr:row>92</xdr:row>
      <xdr:rowOff>8822</xdr:rowOff>
    </xdr:to>
    <xdr:sp macro="" textlink="">
      <xdr:nvSpPr>
        <xdr:cNvPr id="85" name="角丸四角形吹き出し 36">
          <a:extLst>
            <a:ext uri="{FF2B5EF4-FFF2-40B4-BE49-F238E27FC236}">
              <a16:creationId xmlns:a16="http://schemas.microsoft.com/office/drawing/2014/main" id="{E9FC134D-CEF8-4FF1-AFE5-79AEAC54981E}"/>
            </a:ext>
          </a:extLst>
        </xdr:cNvPr>
        <xdr:cNvSpPr/>
      </xdr:nvSpPr>
      <xdr:spPr>
        <a:xfrm>
          <a:off x="8264978" y="16402050"/>
          <a:ext cx="4155622" cy="1961447"/>
        </a:xfrm>
        <a:prstGeom prst="wedgeRoundRectCallout">
          <a:avLst>
            <a:gd name="adj1" fmla="val -91853"/>
            <a:gd name="adj2" fmla="val 1423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　年金所得のみの方は、こちらの年金所得金額を試算シートに入力すると国保税の概算ができます。</a:t>
          </a:r>
          <a:endParaRPr kumimoji="1" lang="en-US" altLang="ja-JP" sz="1000">
            <a:latin typeface="HG丸ｺﾞｼｯｸM-PRO" panose="020F0600000000000000" pitchFamily="50" charset="-128"/>
            <a:ea typeface="HG丸ｺﾞｼｯｸM-PRO" panose="020F0600000000000000" pitchFamily="50" charset="-128"/>
          </a:endParaRPr>
        </a:p>
        <a:p>
          <a:pPr algn="l"/>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　年金以外の所得がある場合は、この年金所得とそのほかの所得金額の合算額を試算シートへ入力してください。</a:t>
          </a:r>
          <a:endParaRPr kumimoji="1" lang="en-US" altLang="ja-JP" sz="1000">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523875</xdr:colOff>
      <xdr:row>94</xdr:row>
      <xdr:rowOff>0</xdr:rowOff>
    </xdr:from>
    <xdr:to>
      <xdr:col>2</xdr:col>
      <xdr:colOff>104775</xdr:colOff>
      <xdr:row>94</xdr:row>
      <xdr:rowOff>257175</xdr:rowOff>
    </xdr:to>
    <xdr:sp macro="" textlink="">
      <xdr:nvSpPr>
        <xdr:cNvPr id="86" name="円/楕円 9">
          <a:extLst>
            <a:ext uri="{FF2B5EF4-FFF2-40B4-BE49-F238E27FC236}">
              <a16:creationId xmlns:a16="http://schemas.microsoft.com/office/drawing/2014/main" id="{635945FA-171F-4892-A935-71EF577B811F}"/>
            </a:ext>
          </a:extLst>
        </xdr:cNvPr>
        <xdr:cNvSpPr/>
      </xdr:nvSpPr>
      <xdr:spPr>
        <a:xfrm>
          <a:off x="952500" y="18897600"/>
          <a:ext cx="2667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530599</xdr:colOff>
      <xdr:row>130</xdr:row>
      <xdr:rowOff>123265</xdr:rowOff>
    </xdr:from>
    <xdr:to>
      <xdr:col>2</xdr:col>
      <xdr:colOff>78442</xdr:colOff>
      <xdr:row>132</xdr:row>
      <xdr:rowOff>11205</xdr:rowOff>
    </xdr:to>
    <xdr:sp macro="" textlink="">
      <xdr:nvSpPr>
        <xdr:cNvPr id="87" name="円/楕円 9">
          <a:extLst>
            <a:ext uri="{FF2B5EF4-FFF2-40B4-BE49-F238E27FC236}">
              <a16:creationId xmlns:a16="http://schemas.microsoft.com/office/drawing/2014/main" id="{0333E6FB-1582-45B4-81AF-7AAD1C9462ED}"/>
            </a:ext>
          </a:extLst>
        </xdr:cNvPr>
        <xdr:cNvSpPr/>
      </xdr:nvSpPr>
      <xdr:spPr>
        <a:xfrm>
          <a:off x="956423" y="28575000"/>
          <a:ext cx="231401" cy="22411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324679</xdr:colOff>
      <xdr:row>147</xdr:row>
      <xdr:rowOff>123264</xdr:rowOff>
    </xdr:from>
    <xdr:to>
      <xdr:col>14</xdr:col>
      <xdr:colOff>22411</xdr:colOff>
      <xdr:row>161</xdr:row>
      <xdr:rowOff>134473</xdr:rowOff>
    </xdr:to>
    <xdr:grpSp>
      <xdr:nvGrpSpPr>
        <xdr:cNvPr id="74" name="グループ化 73">
          <a:extLst>
            <a:ext uri="{FF2B5EF4-FFF2-40B4-BE49-F238E27FC236}">
              <a16:creationId xmlns:a16="http://schemas.microsoft.com/office/drawing/2014/main" id="{8912FB0D-C00A-4282-9C5F-182E8563EAF4}"/>
            </a:ext>
          </a:extLst>
        </xdr:cNvPr>
        <xdr:cNvGrpSpPr/>
      </xdr:nvGrpSpPr>
      <xdr:grpSpPr>
        <a:xfrm>
          <a:off x="3481536" y="32100050"/>
          <a:ext cx="5902589" cy="2487709"/>
          <a:chOff x="3473897" y="25437350"/>
          <a:chExt cx="5928940" cy="2364444"/>
        </a:xfrm>
      </xdr:grpSpPr>
      <xdr:sp macro="" textlink="">
        <xdr:nvSpPr>
          <xdr:cNvPr id="29" name="円/楕円 40">
            <a:extLst>
              <a:ext uri="{FF2B5EF4-FFF2-40B4-BE49-F238E27FC236}">
                <a16:creationId xmlns:a16="http://schemas.microsoft.com/office/drawing/2014/main" id="{0746B3B2-65B1-4232-BC6F-C69B4953DD5C}"/>
              </a:ext>
            </a:extLst>
          </xdr:cNvPr>
          <xdr:cNvSpPr/>
        </xdr:nvSpPr>
        <xdr:spPr>
          <a:xfrm>
            <a:off x="3473897" y="27517166"/>
            <a:ext cx="2028806" cy="28462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 name="角丸四角形吹き出し 39">
            <a:extLst>
              <a:ext uri="{FF2B5EF4-FFF2-40B4-BE49-F238E27FC236}">
                <a16:creationId xmlns:a16="http://schemas.microsoft.com/office/drawing/2014/main" id="{E35567D2-22D6-4F2D-910C-F72AA29567F9}"/>
              </a:ext>
            </a:extLst>
          </xdr:cNvPr>
          <xdr:cNvSpPr/>
        </xdr:nvSpPr>
        <xdr:spPr>
          <a:xfrm>
            <a:off x="5551929" y="25437350"/>
            <a:ext cx="3850908" cy="1109385"/>
          </a:xfrm>
          <a:prstGeom prst="wedgeRoundRectCallout">
            <a:avLst>
              <a:gd name="adj1" fmla="val -52951"/>
              <a:gd name="adj2" fmla="val 142223"/>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所得金額の合計を</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試算シートに入力してください。</a:t>
            </a:r>
            <a:endParaRPr kumimoji="1" lang="en-US" altLang="ja-JP" sz="1000">
              <a:latin typeface="HG丸ｺﾞｼｯｸM-PRO" panose="020F0600000000000000" pitchFamily="50" charset="-128"/>
              <a:ea typeface="HG丸ｺﾞｼｯｸM-PRO" panose="020F0600000000000000" pitchFamily="50" charset="-128"/>
            </a:endParaRPr>
          </a:p>
        </xdr:txBody>
      </xdr:sp>
    </xdr:grpSp>
    <xdr:clientData/>
  </xdr:twoCellAnchor>
  <xdr:twoCellAnchor>
    <xdr:from>
      <xdr:col>1</xdr:col>
      <xdr:colOff>0</xdr:colOff>
      <xdr:row>98</xdr:row>
      <xdr:rowOff>0</xdr:rowOff>
    </xdr:from>
    <xdr:to>
      <xdr:col>9</xdr:col>
      <xdr:colOff>671553</xdr:colOff>
      <xdr:row>120</xdr:row>
      <xdr:rowOff>145676</xdr:rowOff>
    </xdr:to>
    <xdr:grpSp>
      <xdr:nvGrpSpPr>
        <xdr:cNvPr id="40" name="グループ化 39">
          <a:extLst>
            <a:ext uri="{FF2B5EF4-FFF2-40B4-BE49-F238E27FC236}">
              <a16:creationId xmlns:a16="http://schemas.microsoft.com/office/drawing/2014/main" id="{8C5EBD06-2164-5AF1-A552-8F5EBCD18DE8}"/>
            </a:ext>
          </a:extLst>
        </xdr:cNvPr>
        <xdr:cNvGrpSpPr/>
      </xdr:nvGrpSpPr>
      <xdr:grpSpPr>
        <a:xfrm>
          <a:off x="435429" y="22179643"/>
          <a:ext cx="6114410" cy="5125890"/>
          <a:chOff x="425824" y="21929912"/>
          <a:chExt cx="6140023" cy="4986617"/>
        </a:xfrm>
      </xdr:grpSpPr>
      <xdr:pic>
        <xdr:nvPicPr>
          <xdr:cNvPr id="39" name="図 38">
            <a:extLst>
              <a:ext uri="{FF2B5EF4-FFF2-40B4-BE49-F238E27FC236}">
                <a16:creationId xmlns:a16="http://schemas.microsoft.com/office/drawing/2014/main" id="{D407331E-C322-7D2C-04A8-DF4AB356755F}"/>
              </a:ext>
            </a:extLst>
          </xdr:cNvPr>
          <xdr:cNvPicPr>
            <a:picLocks noChangeAspect="1"/>
          </xdr:cNvPicPr>
        </xdr:nvPicPr>
        <xdr:blipFill>
          <a:blip xmlns:r="http://schemas.openxmlformats.org/officeDocument/2006/relationships" r:embed="rId4"/>
          <a:stretch>
            <a:fillRect/>
          </a:stretch>
        </xdr:blipFill>
        <xdr:spPr>
          <a:xfrm>
            <a:off x="425824" y="21929912"/>
            <a:ext cx="5154705" cy="4986617"/>
          </a:xfrm>
          <a:prstGeom prst="rect">
            <a:avLst/>
          </a:prstGeom>
        </xdr:spPr>
      </xdr:pic>
      <xdr:sp macro="" textlink="">
        <xdr:nvSpPr>
          <xdr:cNvPr id="9" name="円/楕円 8">
            <a:extLst>
              <a:ext uri="{FF2B5EF4-FFF2-40B4-BE49-F238E27FC236}">
                <a16:creationId xmlns:a16="http://schemas.microsoft.com/office/drawing/2014/main" id="{94F83FFD-542C-4648-A270-2EC275F7078C}"/>
              </a:ext>
            </a:extLst>
          </xdr:cNvPr>
          <xdr:cNvSpPr/>
        </xdr:nvSpPr>
        <xdr:spPr>
          <a:xfrm>
            <a:off x="658410" y="26561912"/>
            <a:ext cx="2304467" cy="34261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角丸四角形吹き出し 37">
            <a:extLst>
              <a:ext uri="{FF2B5EF4-FFF2-40B4-BE49-F238E27FC236}">
                <a16:creationId xmlns:a16="http://schemas.microsoft.com/office/drawing/2014/main" id="{57DFE43D-F053-4F38-8F35-362C7ABA6EC4}"/>
              </a:ext>
            </a:extLst>
          </xdr:cNvPr>
          <xdr:cNvSpPr/>
        </xdr:nvSpPr>
        <xdr:spPr>
          <a:xfrm>
            <a:off x="4143765" y="23682904"/>
            <a:ext cx="2422082" cy="1718346"/>
          </a:xfrm>
          <a:prstGeom prst="wedgeRoundRectCallout">
            <a:avLst>
              <a:gd name="adj1" fmla="val -98639"/>
              <a:gd name="adj2" fmla="val 117382"/>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000">
                <a:latin typeface="HG丸ｺﾞｼｯｸM-PRO" panose="020F0600000000000000" pitchFamily="50" charset="-128"/>
                <a:ea typeface="HG丸ｺﾞｼｯｸM-PRO" panose="020F0600000000000000" pitchFamily="50" charset="-128"/>
              </a:rPr>
              <a:t>所得金額の合計を</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試算シートに</a:t>
            </a:r>
            <a:endParaRPr kumimoji="1" lang="en-US" altLang="ja-JP" sz="1000">
              <a:latin typeface="HG丸ｺﾞｼｯｸM-PRO" panose="020F0600000000000000" pitchFamily="50" charset="-128"/>
              <a:ea typeface="HG丸ｺﾞｼｯｸM-PRO" panose="020F0600000000000000" pitchFamily="50" charset="-128"/>
            </a:endParaRPr>
          </a:p>
          <a:p>
            <a:pPr algn="l"/>
            <a:r>
              <a:rPr kumimoji="1" lang="ja-JP" altLang="en-US" sz="1000">
                <a:latin typeface="HG丸ｺﾞｼｯｸM-PRO" panose="020F0600000000000000" pitchFamily="50" charset="-128"/>
                <a:ea typeface="HG丸ｺﾞｼｯｸM-PRO" panose="020F0600000000000000" pitchFamily="50" charset="-128"/>
              </a:rPr>
              <a:t>入力してください。</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885264</xdr:colOff>
      <xdr:row>15</xdr:row>
      <xdr:rowOff>56029</xdr:rowOff>
    </xdr:from>
    <xdr:to>
      <xdr:col>9</xdr:col>
      <xdr:colOff>257735</xdr:colOff>
      <xdr:row>15</xdr:row>
      <xdr:rowOff>324970</xdr:rowOff>
    </xdr:to>
    <xdr:sp macro="" textlink="">
      <xdr:nvSpPr>
        <xdr:cNvPr id="2" name="テキスト ボックス 1">
          <a:extLst>
            <a:ext uri="{FF2B5EF4-FFF2-40B4-BE49-F238E27FC236}">
              <a16:creationId xmlns:a16="http://schemas.microsoft.com/office/drawing/2014/main" id="{C06D0081-9579-4021-B5F9-86ED1117CA3C}"/>
            </a:ext>
          </a:extLst>
        </xdr:cNvPr>
        <xdr:cNvSpPr txBox="1"/>
      </xdr:nvSpPr>
      <xdr:spPr>
        <a:xfrm>
          <a:off x="6371664" y="5771029"/>
          <a:ext cx="286871"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A</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10</xdr:col>
      <xdr:colOff>847164</xdr:colOff>
      <xdr:row>15</xdr:row>
      <xdr:rowOff>62753</xdr:rowOff>
    </xdr:from>
    <xdr:to>
      <xdr:col>11</xdr:col>
      <xdr:colOff>253253</xdr:colOff>
      <xdr:row>15</xdr:row>
      <xdr:rowOff>331694</xdr:rowOff>
    </xdr:to>
    <xdr:sp macro="" textlink="">
      <xdr:nvSpPr>
        <xdr:cNvPr id="3" name="テキスト ボックス 2">
          <a:extLst>
            <a:ext uri="{FF2B5EF4-FFF2-40B4-BE49-F238E27FC236}">
              <a16:creationId xmlns:a16="http://schemas.microsoft.com/office/drawing/2014/main" id="{E94E3249-3691-4438-8398-97FC7F52B24B}"/>
            </a:ext>
          </a:extLst>
        </xdr:cNvPr>
        <xdr:cNvSpPr txBox="1"/>
      </xdr:nvSpPr>
      <xdr:spPr>
        <a:xfrm>
          <a:off x="8133789" y="5777753"/>
          <a:ext cx="291914"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B</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12</xdr:col>
      <xdr:colOff>853889</xdr:colOff>
      <xdr:row>15</xdr:row>
      <xdr:rowOff>69478</xdr:rowOff>
    </xdr:from>
    <xdr:to>
      <xdr:col>13</xdr:col>
      <xdr:colOff>259977</xdr:colOff>
      <xdr:row>15</xdr:row>
      <xdr:rowOff>338419</xdr:rowOff>
    </xdr:to>
    <xdr:sp macro="" textlink="">
      <xdr:nvSpPr>
        <xdr:cNvPr id="4" name="テキスト ボックス 3">
          <a:extLst>
            <a:ext uri="{FF2B5EF4-FFF2-40B4-BE49-F238E27FC236}">
              <a16:creationId xmlns:a16="http://schemas.microsoft.com/office/drawing/2014/main" id="{CF3B28D1-5ADD-438B-AA40-52950312180D}"/>
            </a:ext>
          </a:extLst>
        </xdr:cNvPr>
        <xdr:cNvSpPr txBox="1"/>
      </xdr:nvSpPr>
      <xdr:spPr>
        <a:xfrm>
          <a:off x="9912164" y="5784478"/>
          <a:ext cx="291913"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C</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0</xdr:col>
      <xdr:colOff>168088</xdr:colOff>
      <xdr:row>18</xdr:row>
      <xdr:rowOff>313764</xdr:rowOff>
    </xdr:from>
    <xdr:to>
      <xdr:col>5</xdr:col>
      <xdr:colOff>0</xdr:colOff>
      <xdr:row>21</xdr:row>
      <xdr:rowOff>324973</xdr:rowOff>
    </xdr:to>
    <xdr:sp macro="" textlink="">
      <xdr:nvSpPr>
        <xdr:cNvPr id="5" name="角丸四角形 19">
          <a:extLst>
            <a:ext uri="{FF2B5EF4-FFF2-40B4-BE49-F238E27FC236}">
              <a16:creationId xmlns:a16="http://schemas.microsoft.com/office/drawing/2014/main" id="{DFD7FA32-B0E8-4E51-95D3-DC4A38246130}"/>
            </a:ext>
          </a:extLst>
        </xdr:cNvPr>
        <xdr:cNvSpPr/>
      </xdr:nvSpPr>
      <xdr:spPr>
        <a:xfrm>
          <a:off x="168088" y="7114614"/>
          <a:ext cx="2606490" cy="1154209"/>
        </a:xfrm>
        <a:prstGeom prst="roundRect">
          <a:avLst/>
        </a:prstGeom>
        <a:ln>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a:t>盛岡市健康保険課</a:t>
          </a:r>
          <a:endParaRPr kumimoji="1" lang="en-US" altLang="ja-JP" sz="1400"/>
        </a:p>
        <a:p>
          <a:pPr algn="ctr"/>
          <a:r>
            <a:rPr kumimoji="1" lang="ja-JP" altLang="en-US" sz="1400"/>
            <a:t>受付賦課係</a:t>
          </a:r>
          <a:endParaRPr kumimoji="1" lang="en-US" altLang="ja-JP" sz="1400"/>
        </a:p>
        <a:p>
          <a:pPr algn="ctr"/>
          <a:r>
            <a:rPr kumimoji="1" lang="en-US" altLang="ja-JP" sz="1400"/>
            <a:t>019-613-8437</a:t>
          </a:r>
          <a:r>
            <a:rPr kumimoji="1" lang="ja-JP" altLang="en-US" sz="1400"/>
            <a:t>（直通）</a:t>
          </a:r>
        </a:p>
      </xdr:txBody>
    </xdr:sp>
    <xdr:clientData/>
  </xdr:twoCellAnchor>
  <xdr:twoCellAnchor>
    <xdr:from>
      <xdr:col>7</xdr:col>
      <xdr:colOff>156882</xdr:colOff>
      <xdr:row>19</xdr:row>
      <xdr:rowOff>112059</xdr:rowOff>
    </xdr:from>
    <xdr:to>
      <xdr:col>10</xdr:col>
      <xdr:colOff>392206</xdr:colOff>
      <xdr:row>21</xdr:row>
      <xdr:rowOff>280147</xdr:rowOff>
    </xdr:to>
    <xdr:grpSp>
      <xdr:nvGrpSpPr>
        <xdr:cNvPr id="6" name="グループ化 5">
          <a:extLst>
            <a:ext uri="{FF2B5EF4-FFF2-40B4-BE49-F238E27FC236}">
              <a16:creationId xmlns:a16="http://schemas.microsoft.com/office/drawing/2014/main" id="{F9ABA563-E107-47D1-8569-0606B2A81A7F}"/>
            </a:ext>
          </a:extLst>
        </xdr:cNvPr>
        <xdr:cNvGrpSpPr/>
      </xdr:nvGrpSpPr>
      <xdr:grpSpPr>
        <a:xfrm>
          <a:off x="6039970" y="7295030"/>
          <a:ext cx="2958354" cy="930088"/>
          <a:chOff x="7542133" y="5694060"/>
          <a:chExt cx="2966781" cy="1221441"/>
        </a:xfrm>
      </xdr:grpSpPr>
      <xdr:sp macro="" textlink="">
        <xdr:nvSpPr>
          <xdr:cNvPr id="7" name="角丸四角形 21">
            <a:extLst>
              <a:ext uri="{FF2B5EF4-FFF2-40B4-BE49-F238E27FC236}">
                <a16:creationId xmlns:a16="http://schemas.microsoft.com/office/drawing/2014/main" id="{4EDF01AA-0065-4068-9BF6-CA21A42B9CF4}"/>
              </a:ext>
            </a:extLst>
          </xdr:cNvPr>
          <xdr:cNvSpPr/>
        </xdr:nvSpPr>
        <xdr:spPr>
          <a:xfrm>
            <a:off x="7542133" y="5694060"/>
            <a:ext cx="2966781" cy="122144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試算結果は</a:t>
            </a:r>
            <a:r>
              <a:rPr kumimoji="1" lang="ja-JP" altLang="en-US" sz="1600" b="1"/>
              <a:t>概算額</a:t>
            </a:r>
            <a:r>
              <a:rPr kumimoji="1" lang="ja-JP" altLang="en-US" sz="1100"/>
              <a:t>です。</a:t>
            </a:r>
            <a:endParaRPr kumimoji="1" lang="en-US" altLang="ja-JP" sz="1100"/>
          </a:p>
          <a:p>
            <a:pPr algn="l"/>
            <a:r>
              <a:rPr kumimoji="1" lang="ja-JP" altLang="en-US" sz="1100"/>
              <a:t>　　　　　　　実際の賦課額とは異なる場合</a:t>
            </a:r>
            <a:endParaRPr kumimoji="1" lang="en-US" altLang="ja-JP" sz="1100"/>
          </a:p>
          <a:p>
            <a:pPr algn="l"/>
            <a:r>
              <a:rPr kumimoji="1" lang="ja-JP" altLang="en-US" sz="1100"/>
              <a:t>　　　　　　　があります。ご了承ください。</a:t>
            </a:r>
            <a:endParaRPr kumimoji="1" lang="en-US" altLang="ja-JP" sz="1100"/>
          </a:p>
        </xdr:txBody>
      </xdr:sp>
      <xdr:grpSp>
        <xdr:nvGrpSpPr>
          <xdr:cNvPr id="8" name="グループ化 7">
            <a:extLst>
              <a:ext uri="{FF2B5EF4-FFF2-40B4-BE49-F238E27FC236}">
                <a16:creationId xmlns:a16="http://schemas.microsoft.com/office/drawing/2014/main" id="{07ADC20B-542A-47ED-9C1B-11DA9B2EAC40}"/>
              </a:ext>
            </a:extLst>
          </xdr:cNvPr>
          <xdr:cNvGrpSpPr/>
        </xdr:nvGrpSpPr>
        <xdr:grpSpPr>
          <a:xfrm>
            <a:off x="7687237" y="6107207"/>
            <a:ext cx="502898" cy="448235"/>
            <a:chOff x="6286500" y="5591735"/>
            <a:chExt cx="1030941" cy="918883"/>
          </a:xfrm>
        </xdr:grpSpPr>
        <xdr:sp macro="" textlink="">
          <xdr:nvSpPr>
            <xdr:cNvPr id="9" name="フローチャート : 抜出し 4">
              <a:extLst>
                <a:ext uri="{FF2B5EF4-FFF2-40B4-BE49-F238E27FC236}">
                  <a16:creationId xmlns:a16="http://schemas.microsoft.com/office/drawing/2014/main" id="{2184BB68-265D-4CAE-A8B9-CD61D67D2A14}"/>
                </a:ext>
              </a:extLst>
            </xdr:cNvPr>
            <xdr:cNvSpPr/>
          </xdr:nvSpPr>
          <xdr:spPr>
            <a:xfrm>
              <a:off x="6286500" y="5591735"/>
              <a:ext cx="1030941" cy="918883"/>
            </a:xfrm>
            <a:prstGeom prst="flowChartExtract">
              <a:avLst/>
            </a:prstGeom>
            <a:solidFill>
              <a:srgbClr val="FFFF0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E76F6997-01ED-4807-8FE7-289355DBA994}"/>
                </a:ext>
              </a:extLst>
            </xdr:cNvPr>
            <xdr:cNvSpPr txBox="1"/>
          </xdr:nvSpPr>
          <xdr:spPr>
            <a:xfrm>
              <a:off x="6475881" y="5883088"/>
              <a:ext cx="605117" cy="593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885264</xdr:colOff>
      <xdr:row>15</xdr:row>
      <xdr:rowOff>56029</xdr:rowOff>
    </xdr:from>
    <xdr:to>
      <xdr:col>9</xdr:col>
      <xdr:colOff>257735</xdr:colOff>
      <xdr:row>15</xdr:row>
      <xdr:rowOff>324970</xdr:rowOff>
    </xdr:to>
    <xdr:sp macro="" textlink="">
      <xdr:nvSpPr>
        <xdr:cNvPr id="2" name="テキスト ボックス 1">
          <a:extLst>
            <a:ext uri="{FF2B5EF4-FFF2-40B4-BE49-F238E27FC236}">
              <a16:creationId xmlns:a16="http://schemas.microsoft.com/office/drawing/2014/main" id="{984F6448-4FD1-4E52-87D2-F292C05B9BE6}"/>
            </a:ext>
          </a:extLst>
        </xdr:cNvPr>
        <xdr:cNvSpPr txBox="1"/>
      </xdr:nvSpPr>
      <xdr:spPr>
        <a:xfrm>
          <a:off x="6371664" y="5771029"/>
          <a:ext cx="286871"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A</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10</xdr:col>
      <xdr:colOff>847164</xdr:colOff>
      <xdr:row>15</xdr:row>
      <xdr:rowOff>62753</xdr:rowOff>
    </xdr:from>
    <xdr:to>
      <xdr:col>11</xdr:col>
      <xdr:colOff>253253</xdr:colOff>
      <xdr:row>15</xdr:row>
      <xdr:rowOff>331694</xdr:rowOff>
    </xdr:to>
    <xdr:sp macro="" textlink="">
      <xdr:nvSpPr>
        <xdr:cNvPr id="3" name="テキスト ボックス 2">
          <a:extLst>
            <a:ext uri="{FF2B5EF4-FFF2-40B4-BE49-F238E27FC236}">
              <a16:creationId xmlns:a16="http://schemas.microsoft.com/office/drawing/2014/main" id="{87B3B744-B348-4196-916F-7DB546648948}"/>
            </a:ext>
          </a:extLst>
        </xdr:cNvPr>
        <xdr:cNvSpPr txBox="1"/>
      </xdr:nvSpPr>
      <xdr:spPr>
        <a:xfrm>
          <a:off x="8133789" y="5777753"/>
          <a:ext cx="291914"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B</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12</xdr:col>
      <xdr:colOff>853889</xdr:colOff>
      <xdr:row>15</xdr:row>
      <xdr:rowOff>69478</xdr:rowOff>
    </xdr:from>
    <xdr:to>
      <xdr:col>13</xdr:col>
      <xdr:colOff>259977</xdr:colOff>
      <xdr:row>15</xdr:row>
      <xdr:rowOff>338419</xdr:rowOff>
    </xdr:to>
    <xdr:sp macro="" textlink="">
      <xdr:nvSpPr>
        <xdr:cNvPr id="4" name="テキスト ボックス 3">
          <a:extLst>
            <a:ext uri="{FF2B5EF4-FFF2-40B4-BE49-F238E27FC236}">
              <a16:creationId xmlns:a16="http://schemas.microsoft.com/office/drawing/2014/main" id="{0462ACBB-A97A-416F-92D1-D2DC58F13607}"/>
            </a:ext>
          </a:extLst>
        </xdr:cNvPr>
        <xdr:cNvSpPr txBox="1"/>
      </xdr:nvSpPr>
      <xdr:spPr>
        <a:xfrm>
          <a:off x="9912164" y="5784478"/>
          <a:ext cx="291913" cy="2689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latin typeface="Arial" panose="020B0604020202020204" pitchFamily="34" charset="0"/>
              <a:cs typeface="Arial" panose="020B0604020202020204" pitchFamily="34" charset="0"/>
            </a:rPr>
            <a:t>C</a:t>
          </a:r>
          <a:endParaRPr kumimoji="1" lang="ja-JP" altLang="en-US" sz="1400" b="1">
            <a:latin typeface="Arial" panose="020B0604020202020204" pitchFamily="34" charset="0"/>
            <a:cs typeface="Arial" panose="020B0604020202020204" pitchFamily="34" charset="0"/>
          </a:endParaRPr>
        </a:p>
      </xdr:txBody>
    </xdr:sp>
    <xdr:clientData/>
  </xdr:twoCellAnchor>
  <xdr:twoCellAnchor>
    <xdr:from>
      <xdr:col>0</xdr:col>
      <xdr:colOff>168088</xdr:colOff>
      <xdr:row>18</xdr:row>
      <xdr:rowOff>313764</xdr:rowOff>
    </xdr:from>
    <xdr:to>
      <xdr:col>5</xdr:col>
      <xdr:colOff>0</xdr:colOff>
      <xdr:row>21</xdr:row>
      <xdr:rowOff>324973</xdr:rowOff>
    </xdr:to>
    <xdr:sp macro="" textlink="">
      <xdr:nvSpPr>
        <xdr:cNvPr id="5" name="角丸四角形 4">
          <a:extLst>
            <a:ext uri="{FF2B5EF4-FFF2-40B4-BE49-F238E27FC236}">
              <a16:creationId xmlns:a16="http://schemas.microsoft.com/office/drawing/2014/main" id="{C000EDE2-FA59-4178-890C-A61923734A97}"/>
            </a:ext>
          </a:extLst>
        </xdr:cNvPr>
        <xdr:cNvSpPr/>
      </xdr:nvSpPr>
      <xdr:spPr>
        <a:xfrm>
          <a:off x="168088" y="7114614"/>
          <a:ext cx="2606490" cy="1154209"/>
        </a:xfrm>
        <a:prstGeom prst="roundRect">
          <a:avLst/>
        </a:prstGeom>
        <a:ln>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400"/>
            <a:t>盛岡市健康保険課</a:t>
          </a:r>
          <a:endParaRPr kumimoji="1" lang="en-US" altLang="ja-JP" sz="1400"/>
        </a:p>
        <a:p>
          <a:pPr algn="ctr"/>
          <a:r>
            <a:rPr kumimoji="1" lang="ja-JP" altLang="en-US" sz="1400"/>
            <a:t>受付賦課係</a:t>
          </a:r>
          <a:endParaRPr kumimoji="1" lang="en-US" altLang="ja-JP" sz="1400"/>
        </a:p>
        <a:p>
          <a:pPr algn="ctr"/>
          <a:r>
            <a:rPr kumimoji="1" lang="en-US" altLang="ja-JP" sz="1400"/>
            <a:t>019-613-8437</a:t>
          </a:r>
          <a:r>
            <a:rPr kumimoji="1" lang="ja-JP" altLang="en-US" sz="1400"/>
            <a:t>（直通）</a:t>
          </a:r>
        </a:p>
      </xdr:txBody>
    </xdr:sp>
    <xdr:clientData/>
  </xdr:twoCellAnchor>
  <xdr:twoCellAnchor>
    <xdr:from>
      <xdr:col>7</xdr:col>
      <xdr:colOff>156882</xdr:colOff>
      <xdr:row>19</xdr:row>
      <xdr:rowOff>112059</xdr:rowOff>
    </xdr:from>
    <xdr:to>
      <xdr:col>10</xdr:col>
      <xdr:colOff>392206</xdr:colOff>
      <xdr:row>21</xdr:row>
      <xdr:rowOff>280147</xdr:rowOff>
    </xdr:to>
    <xdr:grpSp>
      <xdr:nvGrpSpPr>
        <xdr:cNvPr id="6" name="グループ化 5">
          <a:extLst>
            <a:ext uri="{FF2B5EF4-FFF2-40B4-BE49-F238E27FC236}">
              <a16:creationId xmlns:a16="http://schemas.microsoft.com/office/drawing/2014/main" id="{5E4450C6-BF7C-4AC3-97D6-66C83543136B}"/>
            </a:ext>
          </a:extLst>
        </xdr:cNvPr>
        <xdr:cNvGrpSpPr/>
      </xdr:nvGrpSpPr>
      <xdr:grpSpPr>
        <a:xfrm>
          <a:off x="6051176" y="7295030"/>
          <a:ext cx="2958354" cy="930088"/>
          <a:chOff x="7542133" y="5694060"/>
          <a:chExt cx="2966781" cy="1221441"/>
        </a:xfrm>
      </xdr:grpSpPr>
      <xdr:sp macro="" textlink="">
        <xdr:nvSpPr>
          <xdr:cNvPr id="7" name="角丸四角形 6">
            <a:extLst>
              <a:ext uri="{FF2B5EF4-FFF2-40B4-BE49-F238E27FC236}">
                <a16:creationId xmlns:a16="http://schemas.microsoft.com/office/drawing/2014/main" id="{5A5D8C18-C023-4DC5-AB18-1D444460AC3B}"/>
              </a:ext>
            </a:extLst>
          </xdr:cNvPr>
          <xdr:cNvSpPr/>
        </xdr:nvSpPr>
        <xdr:spPr>
          <a:xfrm>
            <a:off x="7542133" y="5694060"/>
            <a:ext cx="2966781" cy="1221441"/>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試算結果は</a:t>
            </a:r>
            <a:r>
              <a:rPr kumimoji="1" lang="ja-JP" altLang="en-US" sz="1600" b="1"/>
              <a:t>概算額</a:t>
            </a:r>
            <a:r>
              <a:rPr kumimoji="1" lang="ja-JP" altLang="en-US" sz="1100"/>
              <a:t>です。</a:t>
            </a:r>
            <a:endParaRPr kumimoji="1" lang="en-US" altLang="ja-JP" sz="1100"/>
          </a:p>
          <a:p>
            <a:pPr algn="l"/>
            <a:r>
              <a:rPr kumimoji="1" lang="ja-JP" altLang="en-US" sz="1100"/>
              <a:t>　　　　　　　実際の賦課額とは異なる場合</a:t>
            </a:r>
            <a:endParaRPr kumimoji="1" lang="en-US" altLang="ja-JP" sz="1100"/>
          </a:p>
          <a:p>
            <a:pPr algn="l"/>
            <a:r>
              <a:rPr kumimoji="1" lang="ja-JP" altLang="en-US" sz="1100"/>
              <a:t>　　　　　　　があります。ご了承ください。</a:t>
            </a:r>
            <a:endParaRPr kumimoji="1" lang="en-US" altLang="ja-JP" sz="1100"/>
          </a:p>
        </xdr:txBody>
      </xdr:sp>
      <xdr:grpSp>
        <xdr:nvGrpSpPr>
          <xdr:cNvPr id="8" name="グループ化 7">
            <a:extLst>
              <a:ext uri="{FF2B5EF4-FFF2-40B4-BE49-F238E27FC236}">
                <a16:creationId xmlns:a16="http://schemas.microsoft.com/office/drawing/2014/main" id="{C7DE307E-590E-49EA-987F-D703CF7236E2}"/>
              </a:ext>
            </a:extLst>
          </xdr:cNvPr>
          <xdr:cNvGrpSpPr/>
        </xdr:nvGrpSpPr>
        <xdr:grpSpPr>
          <a:xfrm>
            <a:off x="7687237" y="6107207"/>
            <a:ext cx="502898" cy="448235"/>
            <a:chOff x="6286500" y="5591735"/>
            <a:chExt cx="1030941" cy="918883"/>
          </a:xfrm>
        </xdr:grpSpPr>
        <xdr:sp macro="" textlink="">
          <xdr:nvSpPr>
            <xdr:cNvPr id="9" name="フローチャート : 抜出し 4">
              <a:extLst>
                <a:ext uri="{FF2B5EF4-FFF2-40B4-BE49-F238E27FC236}">
                  <a16:creationId xmlns:a16="http://schemas.microsoft.com/office/drawing/2014/main" id="{9C068C2F-949B-4197-A467-13CF7569DC18}"/>
                </a:ext>
              </a:extLst>
            </xdr:cNvPr>
            <xdr:cNvSpPr/>
          </xdr:nvSpPr>
          <xdr:spPr>
            <a:xfrm>
              <a:off x="6286500" y="5591735"/>
              <a:ext cx="1030941" cy="918883"/>
            </a:xfrm>
            <a:prstGeom prst="flowChartExtract">
              <a:avLst/>
            </a:prstGeom>
            <a:solidFill>
              <a:srgbClr val="FFFF0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59708EAE-F205-4F79-A9ED-4486A5CD4405}"/>
                </a:ext>
              </a:extLst>
            </xdr:cNvPr>
            <xdr:cNvSpPr txBox="1"/>
          </xdr:nvSpPr>
          <xdr:spPr>
            <a:xfrm>
              <a:off x="6475881" y="5883088"/>
              <a:ext cx="605117" cy="593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solidFill>
                    <a:srgbClr val="FF0000"/>
                  </a:solidFill>
                </a:rPr>
                <a:t>！</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76200</xdr:colOff>
      <xdr:row>34</xdr:row>
      <xdr:rowOff>0</xdr:rowOff>
    </xdr:from>
    <xdr:to>
      <xdr:col>9</xdr:col>
      <xdr:colOff>609600</xdr:colOff>
      <xdr:row>48</xdr:row>
      <xdr:rowOff>228600</xdr:rowOff>
    </xdr:to>
    <xdr:sp macro="" textlink="">
      <xdr:nvSpPr>
        <xdr:cNvPr id="2" name="テキスト ボックス 1">
          <a:extLst>
            <a:ext uri="{FF2B5EF4-FFF2-40B4-BE49-F238E27FC236}">
              <a16:creationId xmlns:a16="http://schemas.microsoft.com/office/drawing/2014/main" id="{57A3EA1B-A452-4109-97F6-F3FAC42FF0B0}"/>
            </a:ext>
          </a:extLst>
        </xdr:cNvPr>
        <xdr:cNvSpPr txBox="1"/>
      </xdr:nvSpPr>
      <xdr:spPr>
        <a:xfrm>
          <a:off x="4476750" y="8524875"/>
          <a:ext cx="7296150" cy="3829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R3</a:t>
          </a:r>
          <a:r>
            <a:rPr kumimoji="1" lang="ja-JP" altLang="en-US" sz="1100"/>
            <a:t>年度に給与と年金の両方の収入を持つ人の所得算出方法が変わったため，</a:t>
          </a:r>
          <a:endParaRPr kumimoji="1" lang="en-US" altLang="ja-JP" sz="1100"/>
        </a:p>
        <a:p>
          <a:r>
            <a:rPr kumimoji="1" lang="ja-JP" altLang="en-US" sz="1100"/>
            <a:t>直接総所得金額を入力してもらい，概算をすることとなりましたので，</a:t>
          </a:r>
          <a:endParaRPr kumimoji="1" lang="en-US" altLang="ja-JP" sz="1100"/>
        </a:p>
        <a:p>
          <a:r>
            <a:rPr kumimoji="1" lang="ja-JP" altLang="en-US" sz="1100"/>
            <a:t>給与収入・年金収入を入力すると自動で所得額の計算をするためのこの欄は</a:t>
          </a:r>
          <a:endParaRPr kumimoji="1" lang="en-US" altLang="ja-JP" sz="1100"/>
        </a:p>
        <a:p>
          <a:r>
            <a:rPr kumimoji="1" lang="en-US" altLang="ja-JP" sz="1100"/>
            <a:t>R3</a:t>
          </a:r>
          <a:r>
            <a:rPr kumimoji="1" lang="ja-JP" altLang="en-US" sz="1100"/>
            <a:t>年度シート内では使用しておりません。</a:t>
          </a:r>
          <a:endParaRPr kumimoji="1" lang="en-US" altLang="ja-JP" sz="1100"/>
        </a:p>
        <a:p>
          <a:endParaRPr kumimoji="1" lang="en-US" altLang="ja-JP" sz="1100"/>
        </a:p>
        <a:p>
          <a:r>
            <a:rPr kumimoji="1" lang="en-US" altLang="ja-JP" sz="1100"/>
            <a:t>HP</a:t>
          </a:r>
          <a:r>
            <a:rPr kumimoji="1" lang="ja-JP" altLang="en-US" sz="1100"/>
            <a:t>掲載時には</a:t>
          </a:r>
          <a:endParaRPr kumimoji="1" lang="en-US" altLang="ja-JP" sz="1100"/>
        </a:p>
        <a:p>
          <a:r>
            <a:rPr kumimoji="1" lang="ja-JP" altLang="en-US" sz="1100"/>
            <a:t>このシートを非表示にして見えないようにしてください。</a:t>
          </a:r>
          <a:endParaRPr kumimoji="1" lang="en-US" altLang="ja-JP"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31"/>
  <sheetViews>
    <sheetView topLeftCell="A53" zoomScale="85" zoomScaleNormal="85" workbookViewId="0">
      <selection activeCell="B2" sqref="B2:E5"/>
    </sheetView>
  </sheetViews>
  <sheetFormatPr defaultRowHeight="13.5" x14ac:dyDescent="0.15"/>
  <cols>
    <col min="1" max="1" width="1.75" style="16" customWidth="1"/>
    <col min="2" max="2" width="1.5" style="16" customWidth="1"/>
    <col min="3" max="28" width="13.875" style="16" customWidth="1"/>
    <col min="29" max="16384" width="9" style="16"/>
  </cols>
  <sheetData>
    <row r="1" spans="1:5" ht="25.5" x14ac:dyDescent="0.15">
      <c r="A1" s="22" t="s">
        <v>38</v>
      </c>
    </row>
    <row r="2" spans="1:5" s="17" customFormat="1" ht="30" customHeight="1" x14ac:dyDescent="0.15">
      <c r="B2" s="161" t="s">
        <v>129</v>
      </c>
      <c r="C2" s="161"/>
      <c r="D2" s="161"/>
      <c r="E2" s="161"/>
    </row>
    <row r="3" spans="1:5" s="17" customFormat="1" ht="30" customHeight="1" x14ac:dyDescent="0.15">
      <c r="B3" s="161"/>
      <c r="C3" s="161"/>
      <c r="D3" s="161"/>
      <c r="E3" s="161"/>
    </row>
    <row r="4" spans="1:5" s="17" customFormat="1" ht="30" customHeight="1" x14ac:dyDescent="0.15">
      <c r="B4" s="161"/>
      <c r="C4" s="161"/>
      <c r="D4" s="161"/>
      <c r="E4" s="161"/>
    </row>
    <row r="5" spans="1:5" s="17" customFormat="1" ht="30" customHeight="1" x14ac:dyDescent="0.15">
      <c r="B5" s="161"/>
      <c r="C5" s="161"/>
      <c r="D5" s="161"/>
      <c r="E5" s="161"/>
    </row>
    <row r="6" spans="1:5" s="17" customFormat="1" ht="30" customHeight="1" x14ac:dyDescent="0.15"/>
    <row r="7" spans="1:5" s="17" customFormat="1" ht="30" customHeight="1" x14ac:dyDescent="0.15"/>
    <row r="8" spans="1:5" s="17" customFormat="1" ht="30" customHeight="1" x14ac:dyDescent="0.15"/>
    <row r="9" spans="1:5" s="17" customFormat="1" ht="30" customHeight="1" x14ac:dyDescent="0.15"/>
    <row r="10" spans="1:5" s="17" customFormat="1" ht="30" customHeight="1" x14ac:dyDescent="0.15"/>
    <row r="11" spans="1:5" s="17" customFormat="1" ht="30" customHeight="1" x14ac:dyDescent="0.15"/>
    <row r="12" spans="1:5" s="17" customFormat="1" ht="30" customHeight="1" x14ac:dyDescent="0.15"/>
    <row r="13" spans="1:5" s="17" customFormat="1" ht="30" customHeight="1" x14ac:dyDescent="0.15"/>
    <row r="14" spans="1:5" s="17" customFormat="1" ht="30" customHeight="1" x14ac:dyDescent="0.15"/>
    <row r="15" spans="1:5" s="17" customFormat="1" ht="30" customHeight="1" x14ac:dyDescent="0.15"/>
    <row r="16" spans="1:5" s="17" customFormat="1" ht="30" customHeight="1" x14ac:dyDescent="0.15"/>
    <row r="17" spans="3:14" s="17" customFormat="1" ht="30" customHeight="1" thickBot="1" x14ac:dyDescent="0.2">
      <c r="C17" s="21" t="s">
        <v>28</v>
      </c>
      <c r="D17" s="21"/>
      <c r="E17" s="21"/>
      <c r="G17" s="21"/>
      <c r="K17" s="21" t="s">
        <v>28</v>
      </c>
      <c r="L17" s="21"/>
      <c r="M17" s="21"/>
    </row>
    <row r="18" spans="3:14" s="17" customFormat="1" ht="63.95" customHeight="1" thickBot="1" x14ac:dyDescent="0.2">
      <c r="D18" s="18" t="s">
        <v>29</v>
      </c>
      <c r="L18" s="19" t="s">
        <v>31</v>
      </c>
    </row>
    <row r="19" spans="3:14" s="17" customFormat="1" ht="30" customHeight="1" x14ac:dyDescent="0.15">
      <c r="C19" s="21"/>
      <c r="D19" s="21"/>
      <c r="E19" s="21" t="s">
        <v>30</v>
      </c>
      <c r="G19" s="21"/>
      <c r="K19" s="21"/>
      <c r="L19" s="21"/>
      <c r="M19" s="21" t="s">
        <v>30</v>
      </c>
    </row>
    <row r="20" spans="3:14" s="17" customFormat="1" ht="30" customHeight="1" x14ac:dyDescent="0.15"/>
    <row r="21" spans="3:14" s="17" customFormat="1" ht="30" customHeight="1" x14ac:dyDescent="0.15"/>
    <row r="22" spans="3:14" s="17" customFormat="1" ht="30" customHeight="1" x14ac:dyDescent="0.15"/>
    <row r="23" spans="3:14" s="21" customFormat="1" ht="30" customHeight="1" x14ac:dyDescent="0.15"/>
    <row r="24" spans="3:14" s="17" customFormat="1" ht="63" customHeight="1" x14ac:dyDescent="0.15">
      <c r="J24" s="124"/>
      <c r="N24" s="125"/>
    </row>
    <row r="25" spans="3:14" s="21" customFormat="1" ht="30" customHeight="1" x14ac:dyDescent="0.15"/>
    <row r="26" spans="3:14" s="17" customFormat="1" ht="30" customHeight="1" x14ac:dyDescent="0.15"/>
    <row r="27" spans="3:14" s="17" customFormat="1" ht="30" customHeight="1" x14ac:dyDescent="0.15"/>
    <row r="28" spans="3:14" s="17" customFormat="1" ht="30" customHeight="1" x14ac:dyDescent="0.15"/>
    <row r="29" spans="3:14" s="17" customFormat="1" ht="30" customHeight="1" x14ac:dyDescent="0.15"/>
    <row r="30" spans="3:14" s="17" customFormat="1" ht="30" customHeight="1" x14ac:dyDescent="0.15"/>
    <row r="31" spans="3:14" s="17" customFormat="1" ht="30" customHeight="1" x14ac:dyDescent="0.15"/>
  </sheetData>
  <sheetProtection algorithmName="SHA-512" hashValue="GJyHr6oJRwdhpWunt1zl8LTKmuR3M0xv5MytegNOVpdWVVH2K/yZJ8tlJv8wB84YROCUpAnvX6JznqD8olDoaw==" saltValue="kZ8tkY2I6ghmVcKO9oxhuQ==" spinCount="100000" sheet="1" objects="1" selectLockedCells="1" selectUnlockedCells="1"/>
  <mergeCells count="1">
    <mergeCell ref="B2:E5"/>
  </mergeCells>
  <phoneticPr fontId="2"/>
  <pageMargins left="0.25" right="0.25" top="0.75" bottom="0.75" header="0.3" footer="0.3"/>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591DF-01C8-4CB7-B0D9-AE3FDF04E8FB}">
  <sheetPr>
    <pageSetUpPr fitToPage="1"/>
  </sheetPr>
  <dimension ref="A1:AK150"/>
  <sheetViews>
    <sheetView topLeftCell="A77" zoomScale="70" zoomScaleNormal="70" zoomScaleSheetLayoutView="85" workbookViewId="0">
      <selection activeCell="G86" sqref="G86:I87"/>
    </sheetView>
  </sheetViews>
  <sheetFormatPr defaultRowHeight="13.5" outlineLevelCol="1" x14ac:dyDescent="0.15"/>
  <cols>
    <col min="1" max="1" width="5.625" style="2" customWidth="1"/>
    <col min="2" max="8" width="9" style="2"/>
    <col min="9" max="9" width="9" style="2" customWidth="1"/>
    <col min="10" max="10" width="10" style="2" bestFit="1" customWidth="1"/>
    <col min="11" max="11" width="9" style="2" customWidth="1"/>
    <col min="12" max="14" width="9" style="2"/>
    <col min="15" max="15" width="22" style="2" bestFit="1" customWidth="1"/>
    <col min="16" max="20" width="8.75" style="2" customWidth="1"/>
    <col min="21" max="25" width="15.625" style="2" customWidth="1" outlineLevel="1"/>
    <col min="26" max="27" width="9" style="2" customWidth="1" outlineLevel="1"/>
    <col min="28" max="28" width="24.125" style="2" customWidth="1" outlineLevel="1"/>
    <col min="29" max="29" width="9" style="2" customWidth="1" outlineLevel="1"/>
    <col min="30" max="33" width="7.625" style="2" customWidth="1" outlineLevel="1"/>
    <col min="34" max="36" width="7.5" style="2" customWidth="1" outlineLevel="1"/>
    <col min="37" max="16384" width="9" style="2"/>
  </cols>
  <sheetData>
    <row r="1" spans="1:1" ht="18.75" x14ac:dyDescent="0.15">
      <c r="A1" s="20" t="s">
        <v>34</v>
      </c>
    </row>
    <row r="31" spans="2:2" x14ac:dyDescent="0.15">
      <c r="B31" s="2" t="s">
        <v>130</v>
      </c>
    </row>
    <row r="40" spans="2:2" ht="17.25" customHeight="1" x14ac:dyDescent="0.15"/>
    <row r="41" spans="2:2" ht="17.25" customHeight="1" x14ac:dyDescent="0.15"/>
    <row r="42" spans="2:2" ht="17.25" customHeight="1" x14ac:dyDescent="0.15"/>
    <row r="43" spans="2:2" ht="17.25" customHeight="1" x14ac:dyDescent="0.15">
      <c r="B43" s="2" t="s">
        <v>123</v>
      </c>
    </row>
    <row r="44" spans="2:2" ht="17.25" customHeight="1" x14ac:dyDescent="0.15"/>
    <row r="45" spans="2:2" ht="17.25" customHeight="1" x14ac:dyDescent="0.15">
      <c r="B45" s="1" t="s">
        <v>93</v>
      </c>
    </row>
    <row r="46" spans="2:2" ht="17.25" customHeight="1" x14ac:dyDescent="0.15"/>
    <row r="47" spans="2:2" ht="17.25" customHeight="1" x14ac:dyDescent="0.15"/>
    <row r="48" spans="2:2" ht="17.25" customHeight="1" x14ac:dyDescent="0.15"/>
    <row r="49" ht="17.25" customHeight="1" x14ac:dyDescent="0.15"/>
    <row r="50" ht="17.25" customHeight="1" x14ac:dyDescent="0.15"/>
    <row r="51" ht="17.25" customHeight="1" x14ac:dyDescent="0.15"/>
    <row r="52" ht="17.25" customHeight="1" x14ac:dyDescent="0.15"/>
    <row r="53" ht="17.25" customHeight="1" x14ac:dyDescent="0.15"/>
    <row r="54" ht="17.25" customHeight="1" x14ac:dyDescent="0.15"/>
    <row r="55" ht="17.25" customHeight="1" x14ac:dyDescent="0.15"/>
    <row r="56" ht="17.25" customHeight="1" x14ac:dyDescent="0.15"/>
    <row r="57" ht="17.25" customHeight="1" x14ac:dyDescent="0.15"/>
    <row r="58" ht="17.25" customHeight="1" x14ac:dyDescent="0.15"/>
    <row r="59" ht="17.25" customHeight="1" x14ac:dyDescent="0.15"/>
    <row r="60" ht="17.25" customHeight="1" x14ac:dyDescent="0.15"/>
    <row r="61" ht="17.25" customHeight="1" x14ac:dyDescent="0.15"/>
    <row r="62" ht="17.25" customHeight="1" x14ac:dyDescent="0.15"/>
    <row r="63" ht="17.25" customHeight="1" x14ac:dyDescent="0.15"/>
    <row r="64" ht="17.25" customHeight="1" x14ac:dyDescent="0.15"/>
    <row r="65" spans="2:2" ht="17.25" customHeight="1" x14ac:dyDescent="0.15"/>
    <row r="66" spans="2:2" ht="17.25" customHeight="1" x14ac:dyDescent="0.15"/>
    <row r="67" spans="2:2" ht="17.25" customHeight="1" x14ac:dyDescent="0.15"/>
    <row r="68" spans="2:2" ht="22.5" customHeight="1" x14ac:dyDescent="0.15"/>
    <row r="69" spans="2:2" ht="17.25" x14ac:dyDescent="0.15">
      <c r="B69" s="1" t="s">
        <v>35</v>
      </c>
    </row>
    <row r="80" spans="2:2" ht="29.25" customHeight="1" x14ac:dyDescent="0.15"/>
    <row r="81" spans="2:36" ht="25.5" customHeight="1" x14ac:dyDescent="0.15"/>
    <row r="82" spans="2:36" ht="24" customHeight="1" x14ac:dyDescent="0.15"/>
    <row r="83" spans="2:36" ht="18.75" customHeight="1" x14ac:dyDescent="0.15">
      <c r="B83" s="2" t="s">
        <v>131</v>
      </c>
    </row>
    <row r="84" spans="2:36" x14ac:dyDescent="0.15">
      <c r="B84" s="2" t="s">
        <v>132</v>
      </c>
      <c r="U84" s="105" t="s">
        <v>110</v>
      </c>
      <c r="V84" s="101"/>
    </row>
    <row r="85" spans="2:36" ht="14.25" thickBot="1" x14ac:dyDescent="0.2">
      <c r="U85" s="102" t="s">
        <v>97</v>
      </c>
      <c r="V85" s="102"/>
      <c r="W85" s="102"/>
      <c r="X85" s="102"/>
    </row>
    <row r="86" spans="2:36" ht="51.75" customHeight="1" thickTop="1" thickBot="1" x14ac:dyDescent="0.2">
      <c r="B86" s="167" t="s">
        <v>125</v>
      </c>
      <c r="C86" s="167"/>
      <c r="D86" s="167"/>
      <c r="E86" s="167"/>
      <c r="F86" s="167"/>
      <c r="G86" s="169"/>
      <c r="H86" s="170"/>
      <c r="I86" s="171"/>
      <c r="J86" s="141" t="s">
        <v>113</v>
      </c>
      <c r="U86" s="188" t="s">
        <v>99</v>
      </c>
      <c r="V86" s="190" t="s">
        <v>100</v>
      </c>
      <c r="W86" s="191"/>
      <c r="X86" s="192"/>
    </row>
    <row r="87" spans="2:36" ht="51.75" customHeight="1" thickTop="1" thickBot="1" x14ac:dyDescent="0.2">
      <c r="B87" s="167" t="s">
        <v>128</v>
      </c>
      <c r="C87" s="168"/>
      <c r="D87" s="168"/>
      <c r="E87" s="168"/>
      <c r="F87" s="168"/>
      <c r="G87" s="169"/>
      <c r="H87" s="170"/>
      <c r="I87" s="171"/>
      <c r="J87" s="141" t="s">
        <v>115</v>
      </c>
      <c r="U87" s="189"/>
      <c r="V87" s="102">
        <v>9990000</v>
      </c>
      <c r="W87" s="102">
        <v>10000000</v>
      </c>
      <c r="X87" s="102">
        <v>2000000</v>
      </c>
    </row>
    <row r="88" spans="2:36" ht="51.75" customHeight="1" thickTop="1" thickBot="1" x14ac:dyDescent="0.2">
      <c r="B88" s="167" t="s">
        <v>124</v>
      </c>
      <c r="C88" s="168"/>
      <c r="D88" s="168"/>
      <c r="E88" s="168"/>
      <c r="F88" s="168"/>
      <c r="G88" s="169"/>
      <c r="H88" s="170"/>
      <c r="I88" s="171"/>
      <c r="J88" s="142" t="s">
        <v>113</v>
      </c>
      <c r="U88" s="102">
        <v>1299999</v>
      </c>
      <c r="V88" s="129">
        <f>IF($Z$92-600000&lt;0,0,$Z$92-600000)</f>
        <v>0</v>
      </c>
      <c r="W88" s="129">
        <f>IF($Z$92-500000&lt;0,0,$Z$92-500000)</f>
        <v>0</v>
      </c>
      <c r="X88" s="129">
        <f>IF($Z$92-400000&lt;0,0,$Z$92-400000)</f>
        <v>0</v>
      </c>
    </row>
    <row r="89" spans="2:36" ht="21.75" customHeight="1" thickTop="1" x14ac:dyDescent="0.15">
      <c r="U89" s="102">
        <v>1300000</v>
      </c>
      <c r="V89" s="129">
        <f>IF($Z$92*0.75-275000&lt;0,0,$Z$92*0.75-275000)</f>
        <v>0</v>
      </c>
      <c r="W89" s="129">
        <f>IF($Z$92*0.75-175000&lt;0,0,$Z$92*0.75-175000)</f>
        <v>0</v>
      </c>
      <c r="X89" s="129">
        <f>IF($Z$92*0.75-75000&lt;0,0,$Z$92*0.75-75000)</f>
        <v>0</v>
      </c>
      <c r="Z89" s="135" t="s">
        <v>101</v>
      </c>
    </row>
    <row r="90" spans="2:36" ht="36" customHeight="1" thickBot="1" x14ac:dyDescent="0.2">
      <c r="B90" s="2" t="s">
        <v>133</v>
      </c>
      <c r="U90" s="102">
        <v>4100000</v>
      </c>
      <c r="V90" s="129">
        <f>IF($Z$92*0.85-685000&lt;0,0,$Z$92*0.85-685000)</f>
        <v>0</v>
      </c>
      <c r="W90" s="129">
        <f>IF($Z$92*0.85-585000&lt;0,0,$Z$92*0.85-585000)</f>
        <v>0</v>
      </c>
      <c r="X90" s="129">
        <f>IF($Z$92*0.85-485000&lt;0,0,$Z$92*0.85-485000)</f>
        <v>0</v>
      </c>
    </row>
    <row r="91" spans="2:36" ht="36" customHeight="1" thickTop="1" thickBot="1" x14ac:dyDescent="0.2">
      <c r="C91" s="164">
        <f>IF(G88&lt;10000000,AE99,IF(G88&lt;=20000000,AE100,IF(G88&gt;20000000,AE101)))</f>
        <v>0</v>
      </c>
      <c r="D91" s="165"/>
      <c r="E91" s="165"/>
      <c r="F91" s="165"/>
      <c r="G91" s="165"/>
      <c r="H91" s="166"/>
      <c r="I91" s="2" t="s">
        <v>114</v>
      </c>
      <c r="U91" s="102">
        <v>7700000</v>
      </c>
      <c r="V91" s="129">
        <f>IF($Z$92*0.95-1455000&lt;0,0,$Z$92*0.95-1455000)</f>
        <v>0</v>
      </c>
      <c r="W91" s="129">
        <f>IF($Z$92*0.95-1355000&lt;0,0,$Z$92*0.95-1355000)</f>
        <v>0</v>
      </c>
      <c r="X91" s="129">
        <f>IF($Z$92*0.95-1255000&lt;0,0,$Z$92*0.95-1255000)</f>
        <v>0</v>
      </c>
      <c r="Z91" s="193" t="s">
        <v>109</v>
      </c>
      <c r="AA91" s="194"/>
      <c r="AB91" s="182" t="s">
        <v>108</v>
      </c>
      <c r="AC91" s="182"/>
      <c r="AD91" s="185" t="s">
        <v>104</v>
      </c>
      <c r="AE91" s="162"/>
      <c r="AF91" s="162"/>
      <c r="AG91" s="162"/>
      <c r="AH91" s="196" t="s">
        <v>111</v>
      </c>
      <c r="AI91" s="196"/>
      <c r="AJ91" s="196"/>
    </row>
    <row r="92" spans="2:36" ht="36" customHeight="1" thickTop="1" thickBot="1" x14ac:dyDescent="0.2">
      <c r="B92" s="2" t="s">
        <v>134</v>
      </c>
      <c r="U92" s="102">
        <v>10000000</v>
      </c>
      <c r="V92" s="129">
        <f>IF($Z$92-1955000&lt;0,0,$Z$92-1955000)</f>
        <v>0</v>
      </c>
      <c r="W92" s="129">
        <f>IF($Z$92-1855000&lt;0,0,$Z$92-1855000)</f>
        <v>0</v>
      </c>
      <c r="X92" s="129">
        <f>IF($Z$92-1755000&lt;0,0,$Z$92-1755000)</f>
        <v>0</v>
      </c>
      <c r="Z92" s="176">
        <f>G86</f>
        <v>0</v>
      </c>
      <c r="AA92" s="177"/>
      <c r="AB92" s="183" t="s">
        <v>102</v>
      </c>
      <c r="AC92" s="184"/>
      <c r="AD92" s="186" t="s">
        <v>105</v>
      </c>
      <c r="AE92" s="187"/>
      <c r="AF92" s="187"/>
      <c r="AG92" s="187"/>
      <c r="AH92" s="197">
        <f>IF(Z92&lt;1300000,V88,IF(Z92&lt;4100000,V89,IF(Z92&lt;7700000,V90,IF(Z92&lt;10000000,V91,IF(Z92&gt;10000000,V92)))))</f>
        <v>0</v>
      </c>
      <c r="AI92" s="197"/>
      <c r="AJ92" s="197"/>
    </row>
    <row r="93" spans="2:36" ht="21" customHeight="1" thickBot="1" x14ac:dyDescent="0.2">
      <c r="U93" s="126" t="s">
        <v>98</v>
      </c>
      <c r="V93" s="127"/>
      <c r="W93" s="127"/>
      <c r="X93" s="127"/>
      <c r="Z93" s="178"/>
      <c r="AA93" s="179"/>
      <c r="AB93" s="183"/>
      <c r="AC93" s="184"/>
      <c r="AD93" s="186" t="s">
        <v>106</v>
      </c>
      <c r="AE93" s="187"/>
      <c r="AF93" s="187"/>
      <c r="AG93" s="187"/>
      <c r="AH93" s="197">
        <f>IF(Z93&lt;1300000,W88,IF(Z93&lt;4100000,W89,IF(Z93&lt;7700000,W90,IF(Z93&lt;10000000,W91,IF(Z93&gt;10000000,W92)))))</f>
        <v>0</v>
      </c>
      <c r="AI93" s="197"/>
      <c r="AJ93" s="197"/>
    </row>
    <row r="94" spans="2:36" ht="21" customHeight="1" thickBot="1" x14ac:dyDescent="0.2">
      <c r="U94" s="102" t="s">
        <v>52</v>
      </c>
      <c r="V94" s="102" t="s">
        <v>92</v>
      </c>
      <c r="W94" s="102"/>
      <c r="X94" s="102"/>
      <c r="Z94" s="178"/>
      <c r="AA94" s="179"/>
      <c r="AB94" s="183"/>
      <c r="AC94" s="184"/>
      <c r="AD94" s="186" t="s">
        <v>107</v>
      </c>
      <c r="AE94" s="187"/>
      <c r="AF94" s="187"/>
      <c r="AG94" s="187"/>
      <c r="AH94" s="197">
        <f>IF(Z94&lt;1300000,X88,IF(Z94&lt;4100000,X89,IF(Z94&lt;7700000,X90,IF(Z94&lt;10000000,X91,IF(Z94&gt;10000000,X92)))))</f>
        <v>0</v>
      </c>
      <c r="AI94" s="197"/>
      <c r="AJ94" s="197"/>
    </row>
    <row r="95" spans="2:36" ht="21" customHeight="1" thickBot="1" x14ac:dyDescent="0.2">
      <c r="B95" s="2" t="s">
        <v>123</v>
      </c>
      <c r="U95" s="102">
        <v>3299999</v>
      </c>
      <c r="V95" s="129">
        <f>IF($Z$92-1100000&lt;0,0,$Z$92-1100000)</f>
        <v>0</v>
      </c>
      <c r="W95" s="129">
        <f>IF($Z$92-1000000&lt;0,0,$Z$92-1000000)</f>
        <v>0</v>
      </c>
      <c r="X95" s="129">
        <f>IF($Z$92-900000&lt;0,0,$Z$92-900000)</f>
        <v>0</v>
      </c>
      <c r="Z95" s="178"/>
      <c r="AA95" s="179"/>
      <c r="AB95" s="172" t="s">
        <v>103</v>
      </c>
      <c r="AC95" s="173"/>
      <c r="AD95" s="174" t="s">
        <v>105</v>
      </c>
      <c r="AE95" s="175"/>
      <c r="AF95" s="175"/>
      <c r="AG95" s="175"/>
      <c r="AH95" s="195">
        <f>IF(Z95&lt;3300000,V95,IF(Z95&lt;4100000,V96,IF(Z95&lt;7700000,V97,IF(Z95&lt;10000000,V98,IF(Z95&gt;10000000,V99)))))</f>
        <v>0</v>
      </c>
      <c r="AI95" s="195"/>
      <c r="AJ95" s="195"/>
    </row>
    <row r="96" spans="2:36" ht="21" customHeight="1" thickBot="1" x14ac:dyDescent="0.2">
      <c r="B96" s="1"/>
      <c r="C96" s="1"/>
      <c r="D96" s="1"/>
      <c r="U96" s="102">
        <v>3300000</v>
      </c>
      <c r="V96" s="129">
        <f>IF($Z$92*0.75-275000&lt;0,0,$Z$92*0.75-275000)</f>
        <v>0</v>
      </c>
      <c r="W96" s="129">
        <f>IF($Z$92*0.75-175000&lt;0,0,$Z$92*0.75-175000)</f>
        <v>0</v>
      </c>
      <c r="X96" s="129">
        <f>IF($Z$92*0.75-75000&lt;0,0,$Z$92*0.75-75000)</f>
        <v>0</v>
      </c>
      <c r="Z96" s="178"/>
      <c r="AA96" s="179"/>
      <c r="AB96" s="172"/>
      <c r="AC96" s="173"/>
      <c r="AD96" s="174" t="s">
        <v>106</v>
      </c>
      <c r="AE96" s="175"/>
      <c r="AF96" s="175"/>
      <c r="AG96" s="175"/>
      <c r="AH96" s="195">
        <f>IF(Z96&lt;3300000,W95,IF(Z96&lt;4100000,W96,IF(Z96&lt;7700000,W97,IF(Z96&lt;10000000,W98,IF(Z96&gt;10000000,W99)))))</f>
        <v>0</v>
      </c>
      <c r="AI96" s="195"/>
      <c r="AJ96" s="195"/>
    </row>
    <row r="97" spans="2:37" ht="21" customHeight="1" thickBot="1" x14ac:dyDescent="0.2">
      <c r="B97" s="135" t="s">
        <v>127</v>
      </c>
      <c r="C97" s="1"/>
      <c r="D97" s="1"/>
      <c r="J97" s="135"/>
      <c r="U97" s="102">
        <v>4100000</v>
      </c>
      <c r="V97" s="129">
        <f>IF($Z$92*0.85-685000&lt;0,0,$Z$92*0.85-685000)</f>
        <v>0</v>
      </c>
      <c r="W97" s="129">
        <f>IF($Z$92*0.85-585000&lt;0,0,$Z$92*0.85-585000)</f>
        <v>0</v>
      </c>
      <c r="X97" s="129">
        <f>IF($Z$92*0.85-485000&lt;0,0,$Z$92*0.85-485000)</f>
        <v>0</v>
      </c>
      <c r="Z97" s="180"/>
      <c r="AA97" s="181"/>
      <c r="AB97" s="172"/>
      <c r="AC97" s="173"/>
      <c r="AD97" s="174" t="s">
        <v>107</v>
      </c>
      <c r="AE97" s="175"/>
      <c r="AF97" s="175"/>
      <c r="AG97" s="175"/>
      <c r="AH97" s="195">
        <f>IF(Z97&lt;3300000,X95,IF(Z97&lt;4100000,X96,IF(Z97&lt;7700000,X97,IF(Z97&lt;10000000,X98,IF(Z97&gt;10000000,X99)))))</f>
        <v>0</v>
      </c>
      <c r="AI97" s="195"/>
      <c r="AJ97" s="195"/>
    </row>
    <row r="98" spans="2:37" ht="21" customHeight="1" thickTop="1" x14ac:dyDescent="0.15">
      <c r="U98" s="102">
        <v>7700000</v>
      </c>
      <c r="V98" s="129">
        <f>IF($Z$92*0.95-1455000&lt;0,0,$Z$92*0.95-1455000)</f>
        <v>0</v>
      </c>
      <c r="W98" s="129">
        <f>IF($Z$92*0.95-1355000&lt;0,0,$Z$92*0.95-1355000)</f>
        <v>0</v>
      </c>
      <c r="X98" s="129">
        <f>IF($Z$92*0.95-1255000&lt;0,0,$Z$92*0.95-1255000)</f>
        <v>0</v>
      </c>
      <c r="Z98" s="162" t="s">
        <v>116</v>
      </c>
      <c r="AA98" s="162"/>
      <c r="AB98" s="144" t="s">
        <v>118</v>
      </c>
      <c r="AC98" s="144"/>
      <c r="AD98" s="144"/>
      <c r="AE98" s="162" t="s">
        <v>122</v>
      </c>
      <c r="AF98" s="162"/>
      <c r="AK98" s="143"/>
    </row>
    <row r="99" spans="2:37" ht="21" customHeight="1" x14ac:dyDescent="0.15">
      <c r="U99" s="102">
        <v>10000000</v>
      </c>
      <c r="V99" s="129">
        <f>IF($Z$92-1955000&lt;0,0,$Z$92-1955000)</f>
        <v>0</v>
      </c>
      <c r="W99" s="129">
        <f>IF($Z$92-1855000&lt;0,0,$Z$92-1855000)</f>
        <v>0</v>
      </c>
      <c r="X99" s="129">
        <f>IF($Z$92-1755000&lt;0,0,$Z$92-1755000)</f>
        <v>0</v>
      </c>
      <c r="Z99" s="162">
        <f>G87</f>
        <v>0</v>
      </c>
      <c r="AA99" s="162"/>
      <c r="AB99" s="144">
        <v>10000000</v>
      </c>
      <c r="AC99" s="144" t="s">
        <v>18</v>
      </c>
      <c r="AD99" s="144"/>
      <c r="AE99" s="162">
        <f>IF(Z99&lt;65,AH92,IF(Z99&gt;=65,AH95))</f>
        <v>0</v>
      </c>
      <c r="AF99" s="162"/>
    </row>
    <row r="100" spans="2:37" ht="21" customHeight="1" x14ac:dyDescent="0.15">
      <c r="Z100" s="162"/>
      <c r="AA100" s="162"/>
      <c r="AB100" s="145" t="s">
        <v>119</v>
      </c>
      <c r="AC100" s="144" t="s">
        <v>120</v>
      </c>
      <c r="AD100" s="144"/>
      <c r="AE100" s="162">
        <f>IF(Z99&lt;65,AH93,IF(Z99&gt;=65,AH96))</f>
        <v>0</v>
      </c>
      <c r="AF100" s="162"/>
    </row>
    <row r="101" spans="2:37" ht="37.5" customHeight="1" x14ac:dyDescent="0.15">
      <c r="Z101" s="162"/>
      <c r="AA101" s="162"/>
      <c r="AB101" s="144">
        <v>200000000</v>
      </c>
      <c r="AC101" s="144" t="s">
        <v>121</v>
      </c>
      <c r="AD101" s="144"/>
      <c r="AE101" s="162">
        <f>IF(Z99&lt;65,AH94,IF(Z99&gt;=65,AH97))</f>
        <v>0</v>
      </c>
      <c r="AF101" s="162"/>
    </row>
    <row r="102" spans="2:37" ht="37.5" customHeight="1" x14ac:dyDescent="0.15">
      <c r="Z102" s="163" t="s">
        <v>117</v>
      </c>
      <c r="AA102" s="163"/>
    </row>
    <row r="103" spans="2:37" ht="37.5" customHeight="1" x14ac:dyDescent="0.15">
      <c r="Z103" s="163">
        <f>G88</f>
        <v>0</v>
      </c>
      <c r="AA103" s="163"/>
    </row>
    <row r="104" spans="2:37" x14ac:dyDescent="0.15">
      <c r="Z104" s="146" t="s">
        <v>126</v>
      </c>
      <c r="AA104" s="146"/>
    </row>
    <row r="105" spans="2:37" x14ac:dyDescent="0.15">
      <c r="Z105" s="198">
        <f>Z103+C91</f>
        <v>0</v>
      </c>
      <c r="AA105" s="198"/>
    </row>
    <row r="132" spans="2:27" x14ac:dyDescent="0.15">
      <c r="B132" s="2" t="s">
        <v>123</v>
      </c>
    </row>
    <row r="134" spans="2:27" ht="17.25" x14ac:dyDescent="0.15">
      <c r="B134" s="1" t="s">
        <v>36</v>
      </c>
    </row>
    <row r="135" spans="2:27" x14ac:dyDescent="0.15">
      <c r="U135" s="105" t="s">
        <v>50</v>
      </c>
      <c r="V135" s="101"/>
      <c r="W135" s="101"/>
      <c r="X135" s="101"/>
      <c r="Y135" s="101"/>
    </row>
    <row r="136" spans="2:27" x14ac:dyDescent="0.15">
      <c r="U136" s="102" t="s">
        <v>97</v>
      </c>
      <c r="V136" s="102"/>
      <c r="W136" s="102"/>
      <c r="X136" s="102"/>
    </row>
    <row r="137" spans="2:27" x14ac:dyDescent="0.15">
      <c r="U137" s="188" t="s">
        <v>99</v>
      </c>
      <c r="V137" s="126" t="s">
        <v>100</v>
      </c>
      <c r="W137" s="127"/>
      <c r="X137" s="128"/>
      <c r="Z137" s="103" t="s">
        <v>69</v>
      </c>
      <c r="AA137" s="103" t="s">
        <v>70</v>
      </c>
    </row>
    <row r="138" spans="2:27" x14ac:dyDescent="0.15">
      <c r="U138" s="189"/>
      <c r="V138" s="102">
        <v>9990000</v>
      </c>
      <c r="W138" s="102">
        <v>10000000</v>
      </c>
      <c r="X138" s="102">
        <v>2000000</v>
      </c>
      <c r="Y138" s="102" t="s">
        <v>65</v>
      </c>
      <c r="Z138" s="103">
        <v>-700000</v>
      </c>
      <c r="AA138" s="103"/>
    </row>
    <row r="139" spans="2:27" x14ac:dyDescent="0.15">
      <c r="U139" s="102">
        <v>1299999</v>
      </c>
      <c r="V139" s="129" t="s">
        <v>88</v>
      </c>
      <c r="W139" s="129"/>
      <c r="X139" s="129"/>
      <c r="Y139" s="102" t="s">
        <v>66</v>
      </c>
      <c r="Z139" s="112">
        <v>0.75</v>
      </c>
      <c r="AA139" s="103">
        <v>-375000</v>
      </c>
    </row>
    <row r="140" spans="2:27" x14ac:dyDescent="0.15">
      <c r="U140" s="102">
        <v>1300000</v>
      </c>
      <c r="V140" s="129" t="s">
        <v>89</v>
      </c>
      <c r="W140" s="129"/>
      <c r="X140" s="129"/>
      <c r="Y140" s="102" t="s">
        <v>66</v>
      </c>
      <c r="Z140" s="112">
        <v>0.85</v>
      </c>
      <c r="AA140" s="103">
        <v>-785000</v>
      </c>
    </row>
    <row r="141" spans="2:27" x14ac:dyDescent="0.15">
      <c r="U141" s="102">
        <v>4100000</v>
      </c>
      <c r="V141" s="129" t="s">
        <v>90</v>
      </c>
      <c r="W141" s="129"/>
      <c r="X141" s="129"/>
      <c r="Y141" s="102" t="s">
        <v>66</v>
      </c>
      <c r="Z141" s="112">
        <v>0.95</v>
      </c>
      <c r="AA141" s="103">
        <v>-1555000</v>
      </c>
    </row>
    <row r="142" spans="2:27" x14ac:dyDescent="0.15">
      <c r="U142" s="102">
        <v>7700000</v>
      </c>
      <c r="V142" s="129" t="s">
        <v>91</v>
      </c>
      <c r="W142" s="129"/>
      <c r="X142" s="129"/>
      <c r="Y142" s="102" t="s">
        <v>66</v>
      </c>
      <c r="Z142" s="112"/>
      <c r="AA142" s="103"/>
    </row>
    <row r="143" spans="2:27" x14ac:dyDescent="0.15">
      <c r="U143" s="102">
        <v>10000000</v>
      </c>
      <c r="V143" s="129"/>
      <c r="W143" s="129"/>
      <c r="X143" s="129"/>
      <c r="Y143" s="102"/>
      <c r="Z143" s="127"/>
      <c r="AA143" s="128"/>
    </row>
    <row r="144" spans="2:27" x14ac:dyDescent="0.15">
      <c r="U144" s="126" t="s">
        <v>98</v>
      </c>
      <c r="V144" s="127"/>
      <c r="W144" s="127"/>
      <c r="X144" s="127"/>
      <c r="Y144" s="127"/>
      <c r="Z144" s="103" t="s">
        <v>69</v>
      </c>
      <c r="AA144" s="103" t="s">
        <v>70</v>
      </c>
    </row>
    <row r="145" spans="21:27" x14ac:dyDescent="0.15">
      <c r="U145" s="102" t="s">
        <v>52</v>
      </c>
      <c r="V145" s="102" t="s">
        <v>92</v>
      </c>
      <c r="W145" s="102"/>
      <c r="X145" s="102"/>
      <c r="Y145" s="102" t="s">
        <v>53</v>
      </c>
      <c r="Z145" s="103">
        <v>-1200000</v>
      </c>
      <c r="AA145" s="103"/>
    </row>
    <row r="146" spans="21:27" x14ac:dyDescent="0.15">
      <c r="U146" s="102">
        <v>3299999</v>
      </c>
      <c r="V146" s="129" t="s">
        <v>88</v>
      </c>
      <c r="W146" s="129"/>
      <c r="X146" s="129"/>
      <c r="Y146" s="102" t="s">
        <v>66</v>
      </c>
      <c r="Z146" s="112">
        <v>0.75</v>
      </c>
      <c r="AA146" s="103">
        <v>-375000</v>
      </c>
    </row>
    <row r="147" spans="21:27" x14ac:dyDescent="0.15">
      <c r="U147" s="102">
        <v>3300000</v>
      </c>
      <c r="V147" s="129" t="s">
        <v>89</v>
      </c>
      <c r="W147" s="129"/>
      <c r="X147" s="129"/>
      <c r="Y147" s="102" t="s">
        <v>66</v>
      </c>
      <c r="Z147" s="112">
        <v>0.85</v>
      </c>
      <c r="AA147" s="103">
        <v>-785000</v>
      </c>
    </row>
    <row r="148" spans="21:27" x14ac:dyDescent="0.15">
      <c r="U148" s="102">
        <v>4100000</v>
      </c>
      <c r="V148" s="129" t="s">
        <v>90</v>
      </c>
      <c r="W148" s="129"/>
      <c r="X148" s="129"/>
      <c r="Y148" s="102" t="s">
        <v>66</v>
      </c>
      <c r="Z148" s="112">
        <v>0.95</v>
      </c>
      <c r="AA148" s="103">
        <v>-1555000</v>
      </c>
    </row>
    <row r="149" spans="21:27" x14ac:dyDescent="0.15">
      <c r="U149" s="102">
        <v>7700000</v>
      </c>
      <c r="V149" s="129" t="s">
        <v>91</v>
      </c>
      <c r="W149" s="129"/>
      <c r="X149" s="129"/>
      <c r="Y149" s="102" t="s">
        <v>66</v>
      </c>
      <c r="Z149" s="112"/>
      <c r="AA149" s="103"/>
    </row>
    <row r="150" spans="21:27" x14ac:dyDescent="0.15">
      <c r="U150" s="102">
        <v>10000000</v>
      </c>
      <c r="V150" s="129"/>
      <c r="W150" s="129"/>
      <c r="X150" s="129"/>
      <c r="Y150" s="102"/>
    </row>
  </sheetData>
  <sheetProtection algorithmName="SHA-512" hashValue="kYPvMB1wr4V7BM5Oc59x3+gCUu5vUPYre72WHTyFiceI+E+0PVvjAV4F1YsIn0vEvUM7GkYoYEEz0gzd0NP6QQ==" saltValue="Vzhfy4F9CsdkuVDjiW+Fsw==" spinCount="100000" sheet="1" objects="1" selectLockedCells="1"/>
  <mergeCells count="38">
    <mergeCell ref="U137:U138"/>
    <mergeCell ref="U86:U87"/>
    <mergeCell ref="V86:X86"/>
    <mergeCell ref="Z91:AA91"/>
    <mergeCell ref="AH95:AJ95"/>
    <mergeCell ref="AH96:AJ96"/>
    <mergeCell ref="AH97:AJ97"/>
    <mergeCell ref="AH91:AJ91"/>
    <mergeCell ref="AH92:AJ92"/>
    <mergeCell ref="AH93:AJ93"/>
    <mergeCell ref="AH94:AJ94"/>
    <mergeCell ref="AE98:AF98"/>
    <mergeCell ref="AE99:AF99"/>
    <mergeCell ref="AE100:AF100"/>
    <mergeCell ref="AE101:AF101"/>
    <mergeCell ref="Z105:AA105"/>
    <mergeCell ref="AB91:AC91"/>
    <mergeCell ref="AB92:AC94"/>
    <mergeCell ref="AD91:AG91"/>
    <mergeCell ref="AD92:AG92"/>
    <mergeCell ref="AD93:AG93"/>
    <mergeCell ref="AD94:AG94"/>
    <mergeCell ref="AB95:AC97"/>
    <mergeCell ref="AD95:AG95"/>
    <mergeCell ref="AD96:AG96"/>
    <mergeCell ref="AD97:AG97"/>
    <mergeCell ref="Z92:AA97"/>
    <mergeCell ref="B86:F86"/>
    <mergeCell ref="B87:F87"/>
    <mergeCell ref="B88:F88"/>
    <mergeCell ref="G86:I86"/>
    <mergeCell ref="G87:I87"/>
    <mergeCell ref="G88:I88"/>
    <mergeCell ref="Z98:AA98"/>
    <mergeCell ref="Z102:AA102"/>
    <mergeCell ref="Z103:AA103"/>
    <mergeCell ref="Z99:AA101"/>
    <mergeCell ref="C91:H91"/>
  </mergeCells>
  <phoneticPr fontId="2"/>
  <printOptions horizontalCentered="1"/>
  <pageMargins left="0.23622047244094491" right="0.23622047244094491" top="0.74803149606299213" bottom="0.74803149606299213" header="0.31496062992125984" footer="0.31496062992125984"/>
  <pageSetup paperSize="9" scale="85" fitToHeight="0" orientation="landscape" r:id="rId1"/>
  <rowBreaks count="4" manualBreakCount="4">
    <brk id="39" max="17" man="1"/>
    <brk id="67" max="17" man="1"/>
    <brk id="93" max="17" man="1"/>
    <brk id="130"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A607C-C094-4F8E-8EE1-09023822B610}">
  <sheetPr>
    <tabColor theme="6" tint="0.39997558519241921"/>
    <pageSetUpPr fitToPage="1"/>
  </sheetPr>
  <dimension ref="A1:CT37"/>
  <sheetViews>
    <sheetView tabSelected="1" zoomScale="85" zoomScaleNormal="85" workbookViewId="0">
      <selection activeCell="E9" sqref="E9"/>
    </sheetView>
  </sheetViews>
  <sheetFormatPr defaultColWidth="6.375" defaultRowHeight="13.5" outlineLevelCol="1" x14ac:dyDescent="0.15"/>
  <cols>
    <col min="1" max="1" width="9" style="25" bestFit="1" customWidth="1"/>
    <col min="2" max="2" width="2.75" style="25" hidden="1" customWidth="1" outlineLevel="1"/>
    <col min="3" max="3" width="13" style="25" customWidth="1" collapsed="1"/>
    <col min="4" max="4" width="5.625" style="25" bestFit="1" customWidth="1"/>
    <col min="5" max="5" width="21.875" style="25" customWidth="1"/>
    <col min="6" max="6" width="27.75" style="25" customWidth="1"/>
    <col min="7" max="7" width="12" style="25" hidden="1" customWidth="1" outlineLevel="1"/>
    <col min="8" max="8" width="12" style="25" customWidth="1" collapsed="1"/>
    <col min="9" max="9" width="12" style="25" customWidth="1"/>
    <col min="10" max="15" width="11.625" style="25" customWidth="1"/>
    <col min="16" max="16" width="10" style="25" bestFit="1" customWidth="1"/>
    <col min="17" max="17" width="8.625" style="25" bestFit="1" customWidth="1"/>
    <col min="18" max="18" width="11.5" style="25" hidden="1" customWidth="1" outlineLevel="1"/>
    <col min="19" max="19" width="10" style="25" hidden="1" customWidth="1" outlineLevel="1"/>
    <col min="20" max="20" width="11.875" style="25" hidden="1" customWidth="1" outlineLevel="1"/>
    <col min="21" max="21" width="11" style="25" hidden="1" customWidth="1" outlineLevel="1"/>
    <col min="22" max="22" width="11.75" style="25" hidden="1" customWidth="1" outlineLevel="1"/>
    <col min="23" max="23" width="9.375" style="25" customWidth="1" collapsed="1"/>
    <col min="24" max="47" width="9.375" style="26" customWidth="1"/>
    <col min="48" max="97" width="6.375" style="26"/>
    <col min="98" max="16384" width="6.375" style="25"/>
  </cols>
  <sheetData>
    <row r="1" spans="1:98" ht="30" customHeight="1" x14ac:dyDescent="0.15">
      <c r="A1" s="23" t="s">
        <v>8</v>
      </c>
      <c r="B1" s="24"/>
    </row>
    <row r="2" spans="1:98" ht="30" customHeight="1" thickBot="1" x14ac:dyDescent="0.2">
      <c r="A2" s="86" t="s">
        <v>135</v>
      </c>
      <c r="B2" s="87"/>
      <c r="C2" s="87"/>
      <c r="D2" s="87"/>
      <c r="E2" s="87"/>
      <c r="F2" s="87"/>
      <c r="G2" s="87"/>
      <c r="H2" s="87"/>
      <c r="I2" s="87"/>
      <c r="J2" s="87"/>
      <c r="K2" s="87"/>
    </row>
    <row r="3" spans="1:98" ht="30" customHeight="1" x14ac:dyDescent="0.15">
      <c r="A3" s="244" t="s">
        <v>61</v>
      </c>
      <c r="B3" s="245"/>
      <c r="C3" s="245"/>
      <c r="D3" s="244" t="s">
        <v>62</v>
      </c>
      <c r="E3" s="203" t="s">
        <v>136</v>
      </c>
      <c r="F3" s="203" t="s">
        <v>95</v>
      </c>
      <c r="G3" s="250" t="s">
        <v>0</v>
      </c>
      <c r="H3" s="203" t="s">
        <v>46</v>
      </c>
      <c r="I3" s="254" t="s">
        <v>47</v>
      </c>
      <c r="J3" s="257" t="s">
        <v>58</v>
      </c>
      <c r="K3" s="258"/>
      <c r="L3" s="259" t="s">
        <v>59</v>
      </c>
      <c r="M3" s="259"/>
      <c r="N3" s="260" t="s">
        <v>60</v>
      </c>
      <c r="O3" s="261"/>
      <c r="S3" s="26"/>
      <c r="T3" s="26"/>
      <c r="U3" s="26"/>
      <c r="V3" s="26"/>
      <c r="W3" s="26"/>
    </row>
    <row r="4" spans="1:98" ht="30" customHeight="1" x14ac:dyDescent="0.15">
      <c r="A4" s="246"/>
      <c r="B4" s="247"/>
      <c r="C4" s="247"/>
      <c r="D4" s="246"/>
      <c r="E4" s="204"/>
      <c r="F4" s="204"/>
      <c r="G4" s="251"/>
      <c r="H4" s="204"/>
      <c r="I4" s="255"/>
      <c r="J4" s="28" t="s">
        <v>2</v>
      </c>
      <c r="K4" s="29" t="s">
        <v>3</v>
      </c>
      <c r="L4" s="30" t="s">
        <v>2</v>
      </c>
      <c r="M4" s="30" t="s">
        <v>3</v>
      </c>
      <c r="N4" s="31" t="s">
        <v>2</v>
      </c>
      <c r="O4" s="32" t="s">
        <v>3</v>
      </c>
      <c r="S4" s="36"/>
      <c r="T4" s="36"/>
      <c r="U4" s="36"/>
      <c r="V4" s="36"/>
      <c r="W4" s="36"/>
      <c r="X4" s="36"/>
      <c r="Y4" s="36"/>
      <c r="Z4" s="36"/>
      <c r="AA4" s="36"/>
      <c r="AB4" s="36"/>
      <c r="AC4" s="36"/>
    </row>
    <row r="5" spans="1:98" ht="30" customHeight="1" thickBot="1" x14ac:dyDescent="0.2">
      <c r="A5" s="246"/>
      <c r="B5" s="248"/>
      <c r="C5" s="248"/>
      <c r="D5" s="249"/>
      <c r="E5" s="205"/>
      <c r="F5" s="205"/>
      <c r="G5" s="252"/>
      <c r="H5" s="253"/>
      <c r="I5" s="256"/>
      <c r="J5" s="37">
        <f>T14</f>
        <v>8.4000000000000005E-2</v>
      </c>
      <c r="K5" s="88">
        <f>T15</f>
        <v>22000</v>
      </c>
      <c r="L5" s="38">
        <f>T17</f>
        <v>2.5999999999999999E-2</v>
      </c>
      <c r="M5" s="89">
        <f>T18</f>
        <v>6200</v>
      </c>
      <c r="N5" s="39">
        <f>T20</f>
        <v>2.5000000000000001E-2</v>
      </c>
      <c r="O5" s="90">
        <f>T21</f>
        <v>6400</v>
      </c>
      <c r="S5" s="26"/>
      <c r="T5" s="26"/>
      <c r="U5" s="26"/>
      <c r="V5" s="26"/>
      <c r="W5" s="26"/>
    </row>
    <row r="6" spans="1:98" ht="30" customHeight="1" thickTop="1" x14ac:dyDescent="0.15">
      <c r="A6" s="157" t="s">
        <v>10</v>
      </c>
      <c r="B6" s="42">
        <f t="shared" ref="B6:B11" si="0">IF(C6="",0,1)</f>
        <v>0</v>
      </c>
      <c r="C6" s="113"/>
      <c r="D6" s="114"/>
      <c r="E6" s="130"/>
      <c r="F6" s="115"/>
      <c r="G6" s="43">
        <f t="shared" ref="G6:G11" si="1">F6</f>
        <v>0</v>
      </c>
      <c r="H6" s="44" t="str">
        <f>IF(B6=1,軽減判定!$D$27,"")</f>
        <v/>
      </c>
      <c r="I6" s="45">
        <f>IF(AND(F6&lt;軽減判定!$D$27),0,F6-H6)</f>
        <v>0</v>
      </c>
      <c r="J6" s="46">
        <f t="shared" ref="J6:J11" si="2">IF(I6="","",I6*$T$14)</f>
        <v>0</v>
      </c>
      <c r="K6" s="47" t="str">
        <f t="shared" ref="K6:K11" si="3">IF(B6=1,$T$15,"")</f>
        <v/>
      </c>
      <c r="L6" s="48">
        <f t="shared" ref="L6:L11" si="4">IF(I6="","",I6*$T$17)</f>
        <v>0</v>
      </c>
      <c r="M6" s="48" t="str">
        <f t="shared" ref="M6:M11" si="5">IF(B6=1,$T$18,"")</f>
        <v/>
      </c>
      <c r="N6" s="49" t="str">
        <f t="shared" ref="N6:N11" si="6">IF(B6=1,IF(AND(D6&gt;=40,D6&lt;=64),I6*$T$20,""),"")</f>
        <v/>
      </c>
      <c r="O6" s="50" t="str">
        <f t="shared" ref="O6:O11" si="7">IF(B6=1,IF(AND(D6&gt;=40,D6&lt;=64),$T$21,""),"")</f>
        <v/>
      </c>
      <c r="S6" s="26"/>
      <c r="T6" s="26"/>
      <c r="U6" s="26"/>
      <c r="V6" s="26"/>
      <c r="W6" s="26"/>
    </row>
    <row r="7" spans="1:98" ht="30" customHeight="1" x14ac:dyDescent="0.15">
      <c r="A7" s="158" t="s">
        <v>11</v>
      </c>
      <c r="B7" s="96">
        <f t="shared" si="0"/>
        <v>0</v>
      </c>
      <c r="C7" s="116"/>
      <c r="D7" s="117"/>
      <c r="E7" s="131"/>
      <c r="F7" s="118"/>
      <c r="G7" s="51">
        <f t="shared" si="1"/>
        <v>0</v>
      </c>
      <c r="H7" s="52" t="str">
        <f>IF(B7=1,軽減判定!$D$27,"")</f>
        <v/>
      </c>
      <c r="I7" s="53">
        <f>IF(AND(F7&lt;軽減判定!$D$27),0,F7-H7)</f>
        <v>0</v>
      </c>
      <c r="J7" s="54">
        <f t="shared" si="2"/>
        <v>0</v>
      </c>
      <c r="K7" s="55" t="str">
        <f t="shared" si="3"/>
        <v/>
      </c>
      <c r="L7" s="56">
        <f t="shared" si="4"/>
        <v>0</v>
      </c>
      <c r="M7" s="56" t="str">
        <f t="shared" si="5"/>
        <v/>
      </c>
      <c r="N7" s="57" t="str">
        <f t="shared" si="6"/>
        <v/>
      </c>
      <c r="O7" s="58" t="str">
        <f t="shared" si="7"/>
        <v/>
      </c>
      <c r="S7" s="26"/>
      <c r="T7" s="26"/>
      <c r="U7" s="26"/>
      <c r="V7" s="26"/>
      <c r="W7" s="26"/>
    </row>
    <row r="8" spans="1:98" ht="30" customHeight="1" x14ac:dyDescent="0.15">
      <c r="A8" s="158" t="s">
        <v>12</v>
      </c>
      <c r="B8" s="59">
        <f t="shared" si="0"/>
        <v>0</v>
      </c>
      <c r="C8" s="116"/>
      <c r="D8" s="117"/>
      <c r="E8" s="131"/>
      <c r="F8" s="118"/>
      <c r="G8" s="51">
        <f t="shared" si="1"/>
        <v>0</v>
      </c>
      <c r="H8" s="52" t="str">
        <f>IF(B8=1,軽減判定!$D$27,"")</f>
        <v/>
      </c>
      <c r="I8" s="53">
        <f>IF(AND(G8&lt;軽減判定!$D$27),0,G8-H8)</f>
        <v>0</v>
      </c>
      <c r="J8" s="54">
        <f t="shared" si="2"/>
        <v>0</v>
      </c>
      <c r="K8" s="55" t="str">
        <f t="shared" si="3"/>
        <v/>
      </c>
      <c r="L8" s="56">
        <f t="shared" si="4"/>
        <v>0</v>
      </c>
      <c r="M8" s="56" t="str">
        <f t="shared" si="5"/>
        <v/>
      </c>
      <c r="N8" s="57" t="str">
        <f t="shared" si="6"/>
        <v/>
      </c>
      <c r="O8" s="58" t="str">
        <f t="shared" si="7"/>
        <v/>
      </c>
      <c r="S8" s="26"/>
      <c r="T8" s="26"/>
      <c r="U8" s="26"/>
      <c r="V8" s="26"/>
      <c r="W8" s="26"/>
    </row>
    <row r="9" spans="1:98" ht="30" customHeight="1" x14ac:dyDescent="0.15">
      <c r="A9" s="159" t="s">
        <v>13</v>
      </c>
      <c r="B9" s="59">
        <f t="shared" si="0"/>
        <v>0</v>
      </c>
      <c r="C9" s="116"/>
      <c r="D9" s="117"/>
      <c r="E9" s="131"/>
      <c r="F9" s="118"/>
      <c r="G9" s="51">
        <f t="shared" si="1"/>
        <v>0</v>
      </c>
      <c r="H9" s="52" t="str">
        <f>IF(B9=1,軽減判定!$D$27,"")</f>
        <v/>
      </c>
      <c r="I9" s="53">
        <f>IF(AND(G9&lt;軽減判定!$D$27),0,G9-H9)</f>
        <v>0</v>
      </c>
      <c r="J9" s="54">
        <f t="shared" si="2"/>
        <v>0</v>
      </c>
      <c r="K9" s="55" t="str">
        <f t="shared" si="3"/>
        <v/>
      </c>
      <c r="L9" s="56">
        <f t="shared" si="4"/>
        <v>0</v>
      </c>
      <c r="M9" s="56" t="str">
        <f t="shared" si="5"/>
        <v/>
      </c>
      <c r="N9" s="57" t="str">
        <f t="shared" si="6"/>
        <v/>
      </c>
      <c r="O9" s="58" t="str">
        <f t="shared" si="7"/>
        <v/>
      </c>
      <c r="S9" s="26"/>
      <c r="T9" s="26"/>
      <c r="U9" s="26"/>
      <c r="V9" s="26"/>
      <c r="W9" s="26"/>
    </row>
    <row r="10" spans="1:98" ht="30" customHeight="1" x14ac:dyDescent="0.15">
      <c r="A10" s="156" t="s">
        <v>32</v>
      </c>
      <c r="B10" s="59">
        <f t="shared" si="0"/>
        <v>0</v>
      </c>
      <c r="C10" s="116"/>
      <c r="D10" s="117"/>
      <c r="E10" s="131"/>
      <c r="F10" s="118"/>
      <c r="G10" s="51">
        <f t="shared" si="1"/>
        <v>0</v>
      </c>
      <c r="H10" s="52" t="str">
        <f>IF(B10=1,軽減判定!$D$27,"")</f>
        <v/>
      </c>
      <c r="I10" s="53">
        <f>IF(AND(G10&lt;軽減判定!$D$27),0,G10-H10)</f>
        <v>0</v>
      </c>
      <c r="J10" s="54">
        <f t="shared" si="2"/>
        <v>0</v>
      </c>
      <c r="K10" s="55" t="str">
        <f t="shared" si="3"/>
        <v/>
      </c>
      <c r="L10" s="56">
        <f t="shared" si="4"/>
        <v>0</v>
      </c>
      <c r="M10" s="56" t="str">
        <f t="shared" si="5"/>
        <v/>
      </c>
      <c r="N10" s="57" t="str">
        <f t="shared" si="6"/>
        <v/>
      </c>
      <c r="O10" s="58" t="str">
        <f t="shared" si="7"/>
        <v/>
      </c>
      <c r="S10" s="26"/>
      <c r="T10" s="26"/>
      <c r="U10" s="26"/>
      <c r="V10" s="26"/>
      <c r="W10" s="26"/>
    </row>
    <row r="11" spans="1:98" ht="30" customHeight="1" thickBot="1" x14ac:dyDescent="0.2">
      <c r="A11" s="160" t="s">
        <v>33</v>
      </c>
      <c r="B11" s="60">
        <f t="shared" si="0"/>
        <v>0</v>
      </c>
      <c r="C11" s="119"/>
      <c r="D11" s="120"/>
      <c r="E11" s="132"/>
      <c r="F11" s="121"/>
      <c r="G11" s="61">
        <f t="shared" si="1"/>
        <v>0</v>
      </c>
      <c r="H11" s="62" t="str">
        <f>IF(B11=1,軽減判定!$D$27,"")</f>
        <v/>
      </c>
      <c r="I11" s="63">
        <f>IF(AND(G11&lt;軽減判定!$D$27),0,G11-H11)</f>
        <v>0</v>
      </c>
      <c r="J11" s="64">
        <f t="shared" si="2"/>
        <v>0</v>
      </c>
      <c r="K11" s="65" t="str">
        <f t="shared" si="3"/>
        <v/>
      </c>
      <c r="L11" s="66">
        <f t="shared" si="4"/>
        <v>0</v>
      </c>
      <c r="M11" s="66" t="str">
        <f t="shared" si="5"/>
        <v/>
      </c>
      <c r="N11" s="67" t="str">
        <f t="shared" si="6"/>
        <v/>
      </c>
      <c r="O11" s="68" t="str">
        <f t="shared" si="7"/>
        <v/>
      </c>
      <c r="S11" s="26"/>
      <c r="T11" s="26"/>
      <c r="U11" s="26"/>
      <c r="V11" s="26"/>
      <c r="W11" s="26"/>
    </row>
    <row r="12" spans="1:98" ht="30" customHeight="1" thickTop="1" thickBot="1" x14ac:dyDescent="0.2">
      <c r="A12" s="94"/>
      <c r="B12" s="94">
        <f>SUM(B6:B11)</f>
        <v>0</v>
      </c>
      <c r="C12" s="104" t="s">
        <v>57</v>
      </c>
      <c r="D12" s="95"/>
      <c r="E12" s="95"/>
      <c r="F12" s="91" t="s">
        <v>63</v>
      </c>
      <c r="G12" s="69">
        <f>SUM(G6:G11)</f>
        <v>0</v>
      </c>
      <c r="H12" s="70">
        <f>SUM(H6:H11)</f>
        <v>0</v>
      </c>
      <c r="I12" s="71">
        <f>SUM(I6:I11)</f>
        <v>0</v>
      </c>
      <c r="J12" s="239">
        <f>SUM(J6:K11)</f>
        <v>0</v>
      </c>
      <c r="K12" s="240"/>
      <c r="L12" s="241">
        <f>SUM(L6:M11)</f>
        <v>0</v>
      </c>
      <c r="M12" s="241"/>
      <c r="N12" s="242">
        <f>SUM(N6:O11)</f>
        <v>0</v>
      </c>
      <c r="O12" s="243"/>
      <c r="R12" s="25" t="s">
        <v>45</v>
      </c>
    </row>
    <row r="13" spans="1:98" ht="30" customHeight="1" x14ac:dyDescent="0.15">
      <c r="A13" s="72"/>
      <c r="C13" s="233"/>
      <c r="D13" s="233"/>
      <c r="E13" s="233"/>
      <c r="I13" s="92" t="s">
        <v>7</v>
      </c>
      <c r="J13" s="234">
        <f>IF(B6=1,T16,0)</f>
        <v>0</v>
      </c>
      <c r="K13" s="235"/>
      <c r="L13" s="236">
        <f>IF(B6=1,T19,0)</f>
        <v>0</v>
      </c>
      <c r="M13" s="236"/>
      <c r="N13" s="237">
        <f>IF(R29&gt;0,T22,0)</f>
        <v>0</v>
      </c>
      <c r="O13" s="238"/>
      <c r="R13" s="25" t="s">
        <v>9</v>
      </c>
      <c r="U13" s="25" t="s">
        <v>75</v>
      </c>
      <c r="V13" s="27" t="s">
        <v>24</v>
      </c>
      <c r="X13" s="25"/>
      <c r="CT13" s="26"/>
    </row>
    <row r="14" spans="1:98" ht="30" customHeight="1" x14ac:dyDescent="0.15">
      <c r="A14" s="85"/>
      <c r="C14" s="25" t="s">
        <v>73</v>
      </c>
      <c r="I14" s="92" t="s">
        <v>6</v>
      </c>
      <c r="J14" s="234">
        <f>IF(SUM(J6:K11,J13)&gt;=軽減判定!B23,軽減判定!B23,SUM(J6:K11,J13))</f>
        <v>0</v>
      </c>
      <c r="K14" s="235"/>
      <c r="L14" s="236">
        <f>IF(SUM(L6:M11,L13)&gt;=軽減判定!B24,軽減判定!B24,SUM(L6:M11,L13))</f>
        <v>0</v>
      </c>
      <c r="M14" s="236"/>
      <c r="N14" s="237">
        <f>IF(SUM(N6:O11,N13)&gt;=軽減判定!B25,軽減判定!B25,SUM(N6:O11,N13))</f>
        <v>0</v>
      </c>
      <c r="O14" s="238"/>
      <c r="Q14" s="72"/>
      <c r="R14" s="97" t="s">
        <v>1</v>
      </c>
      <c r="S14" s="33" t="s">
        <v>2</v>
      </c>
      <c r="T14" s="34">
        <f>軽減判定!J3</f>
        <v>8.4000000000000005E-2</v>
      </c>
      <c r="U14" s="110"/>
      <c r="V14" s="35"/>
      <c r="X14" s="25"/>
      <c r="CT14" s="26"/>
    </row>
    <row r="15" spans="1:98" ht="30" customHeight="1" x14ac:dyDescent="0.15">
      <c r="I15" s="92" t="s">
        <v>24</v>
      </c>
      <c r="J15" s="221">
        <f>IF(B6=1,V15+V16,0)</f>
        <v>0</v>
      </c>
      <c r="K15" s="222"/>
      <c r="L15" s="223">
        <f>IF(B6=1,V18+V19,0)</f>
        <v>0</v>
      </c>
      <c r="M15" s="224"/>
      <c r="N15" s="225">
        <f>IF(R29&gt;0,V21+V22,0)</f>
        <v>0</v>
      </c>
      <c r="O15" s="226"/>
      <c r="R15" s="98"/>
      <c r="S15" s="33" t="s">
        <v>3</v>
      </c>
      <c r="T15" s="40">
        <f>軽減判定!J4</f>
        <v>22000</v>
      </c>
      <c r="U15" s="136">
        <f>COUNTIF(K6:K11,T15)</f>
        <v>0</v>
      </c>
      <c r="V15" s="41">
        <f>IF($H$19=$R$25,T15*0.7*U15,IF($H$19=$S$25,T15*0.5*U15,IF($H$19=$T$25,$T15*0.2*U15,0)))</f>
        <v>0</v>
      </c>
      <c r="X15" s="25"/>
      <c r="CT15" s="26"/>
    </row>
    <row r="16" spans="1:98" ht="30" customHeight="1" thickBot="1" x14ac:dyDescent="0.2">
      <c r="I16" s="92" t="s">
        <v>55</v>
      </c>
      <c r="J16" s="227">
        <f>ROUNDDOWN(J14-J15,-2)</f>
        <v>0</v>
      </c>
      <c r="K16" s="228"/>
      <c r="L16" s="229">
        <f>ROUNDDOWN(L14-L15,-2)</f>
        <v>0</v>
      </c>
      <c r="M16" s="230"/>
      <c r="N16" s="231">
        <f>ROUNDDOWN(N14-N15,-2)</f>
        <v>0</v>
      </c>
      <c r="O16" s="232"/>
      <c r="R16" s="99"/>
      <c r="S16" s="33" t="s">
        <v>5</v>
      </c>
      <c r="T16" s="40">
        <f>軽減判定!J5</f>
        <v>23900</v>
      </c>
      <c r="U16" s="137"/>
      <c r="V16" s="41">
        <f>IF($H$19=$R$25,T16*0.7,IF($H$19=$S$25,T16*0.5,IF($H$19=$T$25,$T16*0.2,0)))</f>
        <v>0</v>
      </c>
      <c r="X16" s="25"/>
      <c r="CT16" s="26"/>
    </row>
    <row r="17" spans="1:98" ht="25.5" customHeight="1" x14ac:dyDescent="0.15">
      <c r="I17" s="93" t="s">
        <v>56</v>
      </c>
      <c r="J17" s="206">
        <f>軽減判定!B23</f>
        <v>650000</v>
      </c>
      <c r="K17" s="206"/>
      <c r="L17" s="207">
        <f>軽減判定!B24</f>
        <v>220000</v>
      </c>
      <c r="M17" s="207"/>
      <c r="N17" s="208">
        <f>軽減判定!B25</f>
        <v>170000</v>
      </c>
      <c r="O17" s="208"/>
      <c r="R17" s="97" t="s">
        <v>37</v>
      </c>
      <c r="S17" s="33" t="s">
        <v>2</v>
      </c>
      <c r="T17" s="106">
        <f>軽減判定!J6</f>
        <v>2.5999999999999999E-2</v>
      </c>
      <c r="U17" s="138"/>
      <c r="V17" s="35"/>
      <c r="X17" s="25"/>
      <c r="CT17" s="26"/>
    </row>
    <row r="18" spans="1:98" ht="30" customHeight="1" thickBot="1" x14ac:dyDescent="0.2">
      <c r="P18" s="75"/>
      <c r="Q18" s="75"/>
      <c r="R18" s="98"/>
      <c r="S18" s="33" t="s">
        <v>3</v>
      </c>
      <c r="T18" s="107">
        <f>軽減判定!J7</f>
        <v>6200</v>
      </c>
      <c r="U18" s="139">
        <f>COUNTIF(M6:M11,T18)</f>
        <v>0</v>
      </c>
      <c r="V18" s="41">
        <f>IF($H$19=$R$25,T18*0.7*U18,IF($H$19=$S$25,T18*0.5*U18,IF($H$19=$T$25,$T18*0.2*U18,0)))</f>
        <v>0</v>
      </c>
      <c r="X18" s="25"/>
      <c r="CT18" s="26"/>
    </row>
    <row r="19" spans="1:98" ht="30" customHeight="1" thickTop="1" thickBot="1" x14ac:dyDescent="0.2">
      <c r="H19" s="80" t="str">
        <f>IF(B12=0,"",IF(R26&gt;=G12,R25,IF(AND(R26&lt;G12,G12&lt;=S26),S25,IF(AND(S26&lt;G12,G12&lt;=T26),T25,""))))</f>
        <v/>
      </c>
      <c r="I19" s="25" t="s">
        <v>25</v>
      </c>
      <c r="K19" s="77"/>
      <c r="L19" s="209" t="s">
        <v>48</v>
      </c>
      <c r="M19" s="210"/>
      <c r="N19" s="213">
        <f>SUM(J16:O16)</f>
        <v>0</v>
      </c>
      <c r="O19" s="214"/>
      <c r="P19" s="78"/>
      <c r="Q19" s="78"/>
      <c r="R19" s="99"/>
      <c r="S19" s="33" t="s">
        <v>5</v>
      </c>
      <c r="T19" s="107">
        <f>軽減判定!J8</f>
        <v>7100</v>
      </c>
      <c r="U19" s="137"/>
      <c r="V19" s="41">
        <f>IF($H$19=$R$25,T19*0.7,IF($H$19=$S$25,T19*0.5,IF($H$19=$T$25,$T19*0.2,0)))</f>
        <v>0</v>
      </c>
      <c r="X19" s="25"/>
      <c r="CT19" s="26"/>
    </row>
    <row r="20" spans="1:98" ht="30" customHeight="1" thickBot="1" x14ac:dyDescent="0.2">
      <c r="J20" s="77"/>
      <c r="K20" s="77"/>
      <c r="L20" s="211"/>
      <c r="M20" s="212"/>
      <c r="N20" s="215"/>
      <c r="O20" s="216"/>
      <c r="P20" s="81"/>
      <c r="Q20" s="81"/>
      <c r="R20" s="97" t="s">
        <v>4</v>
      </c>
      <c r="S20" s="33" t="s">
        <v>2</v>
      </c>
      <c r="T20" s="106">
        <f>軽減判定!J9</f>
        <v>2.5000000000000001E-2</v>
      </c>
      <c r="U20" s="138"/>
      <c r="V20" s="35"/>
      <c r="X20" s="25"/>
      <c r="CT20" s="26"/>
    </row>
    <row r="21" spans="1:98" ht="30" customHeight="1" thickTop="1" thickBot="1" x14ac:dyDescent="0.2">
      <c r="L21" s="217" t="s">
        <v>43</v>
      </c>
      <c r="M21" s="218"/>
      <c r="N21" s="219">
        <f>N19/12</f>
        <v>0</v>
      </c>
      <c r="O21" s="220"/>
      <c r="P21" s="81"/>
      <c r="Q21" s="81"/>
      <c r="R21" s="98"/>
      <c r="S21" s="33" t="s">
        <v>3</v>
      </c>
      <c r="T21" s="107">
        <f>軽減判定!J10</f>
        <v>6400</v>
      </c>
      <c r="U21" s="139">
        <f>COUNTIF(O6:O11,T21)</f>
        <v>0</v>
      </c>
      <c r="V21" s="41">
        <f>IF($H$19=$R$25,T21*0.7*U21,IF($H$19=$S$25,T21*0.5*U21,IF($H$19=$T$25,$T21*0.2*U21,0)))</f>
        <v>0</v>
      </c>
      <c r="X21" s="25"/>
      <c r="CT21" s="26"/>
    </row>
    <row r="22" spans="1:98" ht="30" customHeight="1" thickBot="1" x14ac:dyDescent="0.2">
      <c r="L22" s="199">
        <f>COUNTIF(B6:B11,1)</f>
        <v>0</v>
      </c>
      <c r="M22" s="200"/>
      <c r="N22" s="201" t="s">
        <v>44</v>
      </c>
      <c r="O22" s="202"/>
      <c r="P22" s="81"/>
      <c r="Q22" s="81"/>
      <c r="R22" s="99"/>
      <c r="S22" s="33" t="s">
        <v>5</v>
      </c>
      <c r="T22" s="107">
        <f>軽減判定!J11</f>
        <v>6700</v>
      </c>
      <c r="U22" s="111"/>
      <c r="V22" s="73">
        <f>IF($H$19=$R$25,T22*0.7,IF($H$19=$S$25,T22*0.5,IF($H$19=$T$25,$T22*0.2,0)))</f>
        <v>0</v>
      </c>
      <c r="X22" s="25"/>
      <c r="CT22" s="26"/>
    </row>
    <row r="23" spans="1:98" ht="30" customHeight="1" x14ac:dyDescent="0.15">
      <c r="M23" s="81"/>
      <c r="N23" s="81"/>
      <c r="O23" s="81"/>
      <c r="P23" s="81"/>
      <c r="Q23" s="81"/>
    </row>
    <row r="24" spans="1:98" ht="22.5" customHeight="1" x14ac:dyDescent="0.15">
      <c r="M24" s="81"/>
      <c r="N24" s="81"/>
      <c r="O24" s="81"/>
      <c r="P24" s="82"/>
      <c r="Q24" s="82"/>
      <c r="R24" s="25" t="s">
        <v>26</v>
      </c>
      <c r="V24" s="134" t="s">
        <v>96</v>
      </c>
    </row>
    <row r="25" spans="1:98" ht="22.5" customHeight="1" x14ac:dyDescent="0.15">
      <c r="M25" s="81"/>
      <c r="N25" s="81"/>
      <c r="O25" s="81"/>
      <c r="P25" s="82"/>
      <c r="Q25" s="82"/>
      <c r="R25" s="74" t="s">
        <v>16</v>
      </c>
      <c r="S25" s="74" t="s">
        <v>19</v>
      </c>
      <c r="T25" s="74" t="s">
        <v>21</v>
      </c>
      <c r="V25" s="134"/>
      <c r="W25" s="134"/>
      <c r="X25" s="134"/>
    </row>
    <row r="26" spans="1:98" ht="22.5" customHeight="1" x14ac:dyDescent="0.15">
      <c r="M26" s="82"/>
      <c r="N26" s="82"/>
      <c r="O26" s="82"/>
      <c r="P26" s="83"/>
      <c r="Q26" s="83"/>
      <c r="R26" s="76">
        <f>(430000+IF(100000*(COUNTIF(E6:E11,"〇")-1)&lt;0,0,100000*(COUNTIF(E6:E11,"〇")-1)))</f>
        <v>430000</v>
      </c>
      <c r="S26" s="76">
        <f>(430000+(290000*COUNTIF(B6:B11,"1")+IF(100000*(COUNTIF(E6:E11,"〇")-1)&lt;0,0,100000*(COUNTIF(E6:E11,"〇")-1))))</f>
        <v>430000</v>
      </c>
      <c r="T26" s="76">
        <f>(430000+(535000*COUNTIF(B6:B11,"1")+IF(100000*(COUNTIF(E6:E11,"〇")-1)&lt;0,0,100000*(COUNTIF(E6:E11,"〇")-1))))</f>
        <v>430000</v>
      </c>
      <c r="V26" s="133" t="s">
        <v>94</v>
      </c>
      <c r="W26" s="133"/>
      <c r="X26" s="133"/>
    </row>
    <row r="27" spans="1:98" ht="22.5" customHeight="1" x14ac:dyDescent="0.15">
      <c r="A27" s="84"/>
      <c r="M27" s="82"/>
      <c r="N27" s="82"/>
      <c r="O27" s="82"/>
      <c r="R27" s="79" t="s">
        <v>27</v>
      </c>
      <c r="S27" s="79" t="s">
        <v>27</v>
      </c>
      <c r="T27" s="79" t="s">
        <v>27</v>
      </c>
    </row>
    <row r="28" spans="1:98" ht="22.5" customHeight="1" x14ac:dyDescent="0.15">
      <c r="M28" s="83"/>
      <c r="N28" s="83"/>
      <c r="O28" s="83"/>
      <c r="R28" s="25" t="s">
        <v>64</v>
      </c>
    </row>
    <row r="29" spans="1:98" ht="22.5" customHeight="1" x14ac:dyDescent="0.15">
      <c r="R29" s="25">
        <f>COUNTIFS(D6:D11,"&gt;=40",D6:D11,"&lt;65")</f>
        <v>0</v>
      </c>
    </row>
    <row r="30" spans="1:98" ht="22.5" customHeight="1" x14ac:dyDescent="0.15"/>
    <row r="31" spans="1:98" ht="22.5" customHeight="1" x14ac:dyDescent="0.15"/>
    <row r="32" spans="1:98" ht="22.5" customHeight="1" x14ac:dyDescent="0.15"/>
    <row r="33" ht="22.5" customHeight="1" x14ac:dyDescent="0.15"/>
    <row r="34" ht="22.5" customHeight="1" x14ac:dyDescent="0.15"/>
    <row r="35" ht="22.5" customHeight="1" x14ac:dyDescent="0.15"/>
    <row r="36" ht="22.5" customHeight="1" x14ac:dyDescent="0.15"/>
    <row r="37" ht="23.25" customHeight="1" x14ac:dyDescent="0.15"/>
  </sheetData>
  <sheetProtection sheet="1" objects="1" selectLockedCells="1"/>
  <dataConsolidate/>
  <mergeCells count="35">
    <mergeCell ref="J12:K12"/>
    <mergeCell ref="L12:M12"/>
    <mergeCell ref="N12:O12"/>
    <mergeCell ref="A3:C5"/>
    <mergeCell ref="D3:D5"/>
    <mergeCell ref="F3:F5"/>
    <mergeCell ref="G3:G5"/>
    <mergeCell ref="H3:H5"/>
    <mergeCell ref="I3:I5"/>
    <mergeCell ref="J3:K3"/>
    <mergeCell ref="L3:M3"/>
    <mergeCell ref="N3:O3"/>
    <mergeCell ref="C13:E13"/>
    <mergeCell ref="J13:K13"/>
    <mergeCell ref="L13:M13"/>
    <mergeCell ref="N13:O13"/>
    <mergeCell ref="J14:K14"/>
    <mergeCell ref="L14:M14"/>
    <mergeCell ref="N14:O14"/>
    <mergeCell ref="L22:M22"/>
    <mergeCell ref="N22:O22"/>
    <mergeCell ref="E3:E5"/>
    <mergeCell ref="J17:K17"/>
    <mergeCell ref="L17:M17"/>
    <mergeCell ref="N17:O17"/>
    <mergeCell ref="L19:M20"/>
    <mergeCell ref="N19:O20"/>
    <mergeCell ref="L21:M21"/>
    <mergeCell ref="N21:O21"/>
    <mergeCell ref="J15:K15"/>
    <mergeCell ref="L15:M15"/>
    <mergeCell ref="N15:O15"/>
    <mergeCell ref="J16:K16"/>
    <mergeCell ref="L16:M16"/>
    <mergeCell ref="N16:O16"/>
  </mergeCells>
  <phoneticPr fontId="2"/>
  <dataValidations xWindow="253" yWindow="570" count="5">
    <dataValidation allowBlank="1" showInputMessage="1" showErrorMessage="1" promptTitle="加入する日付時点での年齢を入力してください。" prompt="数字で入力します。" sqref="D6:D11" xr:uid="{924B05F6-1315-4CA3-9F1B-19C9D39ED388}"/>
    <dataValidation allowBlank="1" showInputMessage="1" showErrorMessage="1" promptTitle="加入する方のお名前を入力してください。" prompt="父、母、子や数字でも可です。" sqref="C6:C11" xr:uid="{4CD31ECA-3A7E-4078-8815-203CFA660F86}"/>
    <dataValidation allowBlank="1" showInputMessage="1" showErrorMessage="1" promptTitle="昨年中（１月～12月）の合計所得金額を入力します。" prompt="～万円、～千円等では計算できません。_x000a_数字を入力してください。_x000a__x000a_入力する金額については、_x000a_別シート「所得金額とは」をご覧ください。" sqref="F6:F11" xr:uid="{94EB1609-F31A-4D4E-BED4-2DDE64498D8E}"/>
    <dataValidation allowBlank="1" showInputMessage="1" showErrorMessage="1" prompt="総所得金額を数字で入力してください。※「～万円」や「～円」などの漢字は不可。_x000a_入力する金額については別シート「所得金額とは」をご覧ください。" sqref="G6:G11" xr:uid="{E967C679-3FDB-416B-B854-7F5243BA17EE}"/>
    <dataValidation type="list" allowBlank="1" showInputMessage="1" showErrorMessage="1" promptTitle="給与所得、年金所得がある方には" prompt="〇をつけてください。" sqref="E7:E11 E6" xr:uid="{7B325DF1-5BA1-49FE-BFED-E6D8195252A0}">
      <formula1>$V$25:$V$26</formula1>
    </dataValidation>
  </dataValidations>
  <printOptions horizontalCentered="1" verticalCentered="1"/>
  <pageMargins left="0.23622047244094491" right="0.23622047244094491" top="0.74803149606299213" bottom="0.74803149606299213" header="0.31496062992125984" footer="0.31496062992125984"/>
  <pageSetup paperSize="9" scale="7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BD6EA-DF64-4F21-A012-4523AB791F42}">
  <sheetPr>
    <tabColor theme="7" tint="0.59999389629810485"/>
    <pageSetUpPr fitToPage="1"/>
  </sheetPr>
  <dimension ref="A1:CT37"/>
  <sheetViews>
    <sheetView zoomScale="85" zoomScaleNormal="85" workbookViewId="0">
      <selection activeCell="C6" sqref="C6"/>
    </sheetView>
  </sheetViews>
  <sheetFormatPr defaultColWidth="6.375" defaultRowHeight="13.5" outlineLevelCol="1" x14ac:dyDescent="0.15"/>
  <cols>
    <col min="1" max="1" width="9" style="25" bestFit="1" customWidth="1"/>
    <col min="2" max="2" width="2.75" style="25" hidden="1" customWidth="1" outlineLevel="1"/>
    <col min="3" max="3" width="13" style="25" customWidth="1" collapsed="1"/>
    <col min="4" max="4" width="5.625" style="25" bestFit="1" customWidth="1"/>
    <col min="5" max="5" width="21.875" style="25" customWidth="1"/>
    <col min="6" max="6" width="27.875" style="25" customWidth="1"/>
    <col min="7" max="7" width="12" style="25" hidden="1" customWidth="1" outlineLevel="1"/>
    <col min="8" max="8" width="12" style="25" customWidth="1" collapsed="1"/>
    <col min="9" max="9" width="12" style="25" customWidth="1"/>
    <col min="10" max="15" width="11.625" style="25" customWidth="1"/>
    <col min="16" max="16" width="10" style="25" bestFit="1" customWidth="1"/>
    <col min="17" max="17" width="8.625" style="25" bestFit="1" customWidth="1"/>
    <col min="18" max="18" width="11.5" style="25" hidden="1" customWidth="1" outlineLevel="1"/>
    <col min="19" max="19" width="10" style="25" hidden="1" customWidth="1" outlineLevel="1"/>
    <col min="20" max="20" width="11.875" style="25" hidden="1" customWidth="1" outlineLevel="1"/>
    <col min="21" max="21" width="11" style="25" hidden="1" customWidth="1" outlineLevel="1"/>
    <col min="22" max="22" width="11.75" style="25" hidden="1" customWidth="1" outlineLevel="1"/>
    <col min="23" max="23" width="9.375" style="25" customWidth="1" collapsed="1"/>
    <col min="24" max="47" width="9.375" style="26" customWidth="1"/>
    <col min="48" max="97" width="6.375" style="26"/>
    <col min="98" max="16384" width="6.375" style="25"/>
  </cols>
  <sheetData>
    <row r="1" spans="1:98" ht="30" customHeight="1" x14ac:dyDescent="0.15">
      <c r="A1" s="23" t="s">
        <v>14</v>
      </c>
      <c r="B1" s="24"/>
    </row>
    <row r="2" spans="1:98" ht="30" customHeight="1" thickBot="1" x14ac:dyDescent="0.2">
      <c r="A2" s="86" t="s">
        <v>135</v>
      </c>
      <c r="B2" s="87"/>
      <c r="C2" s="87"/>
      <c r="D2" s="87"/>
      <c r="E2" s="87"/>
      <c r="F2" s="87"/>
      <c r="G2" s="87"/>
      <c r="H2" s="87"/>
      <c r="I2" s="87"/>
      <c r="J2" s="87"/>
      <c r="K2" s="87"/>
    </row>
    <row r="3" spans="1:98" ht="30" customHeight="1" x14ac:dyDescent="0.15">
      <c r="A3" s="244" t="s">
        <v>61</v>
      </c>
      <c r="B3" s="245"/>
      <c r="C3" s="245"/>
      <c r="D3" s="244" t="s">
        <v>62</v>
      </c>
      <c r="E3" s="203" t="s">
        <v>136</v>
      </c>
      <c r="F3" s="203" t="s">
        <v>112</v>
      </c>
      <c r="G3" s="250" t="s">
        <v>0</v>
      </c>
      <c r="H3" s="203" t="s">
        <v>46</v>
      </c>
      <c r="I3" s="254" t="s">
        <v>47</v>
      </c>
      <c r="J3" s="257" t="s">
        <v>58</v>
      </c>
      <c r="K3" s="258"/>
      <c r="L3" s="259" t="s">
        <v>59</v>
      </c>
      <c r="M3" s="259"/>
      <c r="N3" s="260" t="s">
        <v>60</v>
      </c>
      <c r="O3" s="261"/>
      <c r="S3" s="26"/>
      <c r="T3" s="26"/>
      <c r="U3" s="26"/>
      <c r="V3" s="26"/>
      <c r="W3" s="26"/>
    </row>
    <row r="4" spans="1:98" ht="30" customHeight="1" x14ac:dyDescent="0.15">
      <c r="A4" s="246"/>
      <c r="B4" s="247"/>
      <c r="C4" s="247"/>
      <c r="D4" s="246"/>
      <c r="E4" s="204"/>
      <c r="F4" s="204"/>
      <c r="G4" s="251"/>
      <c r="H4" s="204"/>
      <c r="I4" s="255"/>
      <c r="J4" s="28" t="s">
        <v>2</v>
      </c>
      <c r="K4" s="29" t="s">
        <v>3</v>
      </c>
      <c r="L4" s="30" t="s">
        <v>2</v>
      </c>
      <c r="M4" s="30" t="s">
        <v>3</v>
      </c>
      <c r="N4" s="31" t="s">
        <v>2</v>
      </c>
      <c r="O4" s="32" t="s">
        <v>3</v>
      </c>
      <c r="S4" s="36"/>
      <c r="T4" s="36"/>
      <c r="U4" s="36"/>
      <c r="V4" s="36"/>
      <c r="W4" s="36"/>
      <c r="X4" s="36"/>
      <c r="Y4" s="36"/>
      <c r="Z4" s="36"/>
      <c r="AA4" s="36"/>
      <c r="AB4" s="36"/>
      <c r="AC4" s="36"/>
    </row>
    <row r="5" spans="1:98" ht="30" customHeight="1" thickBot="1" x14ac:dyDescent="0.2">
      <c r="A5" s="246"/>
      <c r="B5" s="248"/>
      <c r="C5" s="248"/>
      <c r="D5" s="249"/>
      <c r="E5" s="205"/>
      <c r="F5" s="205"/>
      <c r="G5" s="252"/>
      <c r="H5" s="253"/>
      <c r="I5" s="256"/>
      <c r="J5" s="37">
        <f>T14</f>
        <v>8.4000000000000005E-2</v>
      </c>
      <c r="K5" s="88">
        <f>T15</f>
        <v>22000</v>
      </c>
      <c r="L5" s="38">
        <f>T17</f>
        <v>2.5999999999999999E-2</v>
      </c>
      <c r="M5" s="89">
        <f>T18</f>
        <v>6200</v>
      </c>
      <c r="N5" s="39">
        <f>T20</f>
        <v>2.5000000000000001E-2</v>
      </c>
      <c r="O5" s="90">
        <f>T21</f>
        <v>6400</v>
      </c>
      <c r="S5" s="26"/>
      <c r="T5" s="26"/>
      <c r="U5" s="26"/>
      <c r="V5" s="26"/>
      <c r="W5" s="26"/>
    </row>
    <row r="6" spans="1:98" ht="30" customHeight="1" thickTop="1" x14ac:dyDescent="0.15">
      <c r="A6" s="157" t="s">
        <v>10</v>
      </c>
      <c r="B6" s="42">
        <f t="shared" ref="B6:B11" si="0">IF(C6="",0,1)</f>
        <v>0</v>
      </c>
      <c r="C6" s="113"/>
      <c r="D6" s="114"/>
      <c r="E6" s="130"/>
      <c r="F6" s="115"/>
      <c r="G6" s="43">
        <f>F6</f>
        <v>0</v>
      </c>
      <c r="H6" s="52">
        <v>0</v>
      </c>
      <c r="I6" s="45">
        <v>0</v>
      </c>
      <c r="J6" s="46">
        <v>0</v>
      </c>
      <c r="K6" s="47"/>
      <c r="L6" s="48">
        <v>0</v>
      </c>
      <c r="M6" s="48"/>
      <c r="N6" s="49"/>
      <c r="O6" s="50"/>
      <c r="S6" s="26"/>
      <c r="T6" s="26"/>
      <c r="U6" s="26"/>
      <c r="V6" s="26"/>
      <c r="W6" s="26"/>
    </row>
    <row r="7" spans="1:98" ht="30" customHeight="1" x14ac:dyDescent="0.15">
      <c r="A7" s="158" t="s">
        <v>11</v>
      </c>
      <c r="B7" s="96">
        <f t="shared" si="0"/>
        <v>0</v>
      </c>
      <c r="C7" s="116"/>
      <c r="D7" s="117"/>
      <c r="E7" s="131"/>
      <c r="F7" s="118"/>
      <c r="G7" s="51">
        <f>F7</f>
        <v>0</v>
      </c>
      <c r="H7" s="52" t="str">
        <f>IF(B7=1,軽減判定!$D$27,"")</f>
        <v/>
      </c>
      <c r="I7" s="53">
        <f>IF(AND(G7&lt;軽減判定!$D$27),0,G7-H7)</f>
        <v>0</v>
      </c>
      <c r="J7" s="54">
        <f t="shared" ref="J7:J11" si="1">IF(I7="","",I7*$T$14)</f>
        <v>0</v>
      </c>
      <c r="K7" s="55" t="str">
        <f>IF(B7=1,$T$15,"")</f>
        <v/>
      </c>
      <c r="L7" s="56">
        <f t="shared" ref="L7:L11" si="2">IF(I7="","",I7*$T$17)</f>
        <v>0</v>
      </c>
      <c r="M7" s="56" t="str">
        <f>IF(B7=1,$T$18,"")</f>
        <v/>
      </c>
      <c r="N7" s="57" t="str">
        <f>IF(B7=1,IF(AND(D7&gt;=40,D7&lt;=64),I7*$T$20,""),"")</f>
        <v/>
      </c>
      <c r="O7" s="58" t="str">
        <f>IF(B7=1,IF(AND(D7&gt;=40,D7&lt;=64),$T$21,""),"")</f>
        <v/>
      </c>
      <c r="S7" s="26"/>
      <c r="T7" s="26"/>
      <c r="U7" s="26"/>
      <c r="V7" s="26"/>
      <c r="W7" s="26"/>
    </row>
    <row r="8" spans="1:98" ht="30" customHeight="1" x14ac:dyDescent="0.15">
      <c r="A8" s="158" t="s">
        <v>12</v>
      </c>
      <c r="B8" s="59">
        <f t="shared" si="0"/>
        <v>0</v>
      </c>
      <c r="C8" s="116"/>
      <c r="D8" s="117"/>
      <c r="E8" s="131"/>
      <c r="F8" s="118"/>
      <c r="G8" s="51">
        <f t="shared" ref="G8:G10" si="3">F8</f>
        <v>0</v>
      </c>
      <c r="H8" s="52" t="str">
        <f>IF(B8=1,軽減判定!$D$27,"")</f>
        <v/>
      </c>
      <c r="I8" s="53">
        <f>IF(AND(G8&lt;軽減判定!$D$27),0,G8-H8)</f>
        <v>0</v>
      </c>
      <c r="J8" s="54">
        <f t="shared" si="1"/>
        <v>0</v>
      </c>
      <c r="K8" s="55" t="str">
        <f>IF(B8=1,$T$15,"")</f>
        <v/>
      </c>
      <c r="L8" s="56">
        <f t="shared" si="2"/>
        <v>0</v>
      </c>
      <c r="M8" s="56" t="str">
        <f>IF(B8=1,$T$18,"")</f>
        <v/>
      </c>
      <c r="N8" s="57" t="str">
        <f>IF(B8=1,IF(AND(D8&gt;=40,D8&lt;=64),I8*$T$20,""),"")</f>
        <v/>
      </c>
      <c r="O8" s="58" t="str">
        <f>IF(B8=1,IF(AND(D8&gt;=40,D8&lt;=64),$T$21,""),"")</f>
        <v/>
      </c>
      <c r="S8" s="26"/>
      <c r="T8" s="26"/>
      <c r="U8" s="26"/>
      <c r="V8" s="26"/>
      <c r="W8" s="26"/>
    </row>
    <row r="9" spans="1:98" ht="30" customHeight="1" x14ac:dyDescent="0.15">
      <c r="A9" s="159" t="s">
        <v>13</v>
      </c>
      <c r="B9" s="59">
        <f t="shared" si="0"/>
        <v>0</v>
      </c>
      <c r="C9" s="116"/>
      <c r="D9" s="117"/>
      <c r="E9" s="131"/>
      <c r="F9" s="118"/>
      <c r="G9" s="51">
        <f t="shared" si="3"/>
        <v>0</v>
      </c>
      <c r="H9" s="52" t="str">
        <f>IF(B9=1,軽減判定!$D$27,"")</f>
        <v/>
      </c>
      <c r="I9" s="53">
        <f>IF(AND(G9&lt;軽減判定!$D$27),0,G9-H9)</f>
        <v>0</v>
      </c>
      <c r="J9" s="54">
        <f t="shared" si="1"/>
        <v>0</v>
      </c>
      <c r="K9" s="55" t="str">
        <f>IF(B9=1,$T$15,"")</f>
        <v/>
      </c>
      <c r="L9" s="56">
        <f t="shared" si="2"/>
        <v>0</v>
      </c>
      <c r="M9" s="56" t="str">
        <f>IF(B9=1,$T$18,"")</f>
        <v/>
      </c>
      <c r="N9" s="57" t="str">
        <f>IF(B9=1,IF(AND(D9&gt;=40,D9&lt;=64),I9*$T$20,""),"")</f>
        <v/>
      </c>
      <c r="O9" s="58" t="str">
        <f>IF(B9=1,IF(AND(D9&gt;=40,D9&lt;=64),$T$21,""),"")</f>
        <v/>
      </c>
      <c r="S9" s="26"/>
      <c r="T9" s="26"/>
      <c r="U9" s="26"/>
      <c r="V9" s="26"/>
      <c r="W9" s="26"/>
    </row>
    <row r="10" spans="1:98" ht="30" customHeight="1" x14ac:dyDescent="0.15">
      <c r="A10" s="156" t="s">
        <v>32</v>
      </c>
      <c r="B10" s="59">
        <f t="shared" si="0"/>
        <v>0</v>
      </c>
      <c r="C10" s="116"/>
      <c r="D10" s="117"/>
      <c r="E10" s="131"/>
      <c r="F10" s="118"/>
      <c r="G10" s="51">
        <f t="shared" si="3"/>
        <v>0</v>
      </c>
      <c r="H10" s="52" t="str">
        <f>IF(B10=1,軽減判定!$D$27,"")</f>
        <v/>
      </c>
      <c r="I10" s="53">
        <f>IF(AND(G10&lt;軽減判定!$D$27),0,G10-H10)</f>
        <v>0</v>
      </c>
      <c r="J10" s="54">
        <f t="shared" si="1"/>
        <v>0</v>
      </c>
      <c r="K10" s="55" t="str">
        <f>IF(B10=1,$T$15,"")</f>
        <v/>
      </c>
      <c r="L10" s="56">
        <f t="shared" si="2"/>
        <v>0</v>
      </c>
      <c r="M10" s="56" t="str">
        <f>IF(B10=1,$T$18,"")</f>
        <v/>
      </c>
      <c r="N10" s="57" t="str">
        <f>IF(B10=1,IF(AND(D10&gt;=40,D10&lt;=64),I10*$T$20,""),"")</f>
        <v/>
      </c>
      <c r="O10" s="58" t="str">
        <f>IF(B10=1,IF(AND(D10&gt;=40,D10&lt;=64),$T$21,""),"")</f>
        <v/>
      </c>
      <c r="S10" s="26"/>
      <c r="T10" s="26"/>
      <c r="U10" s="26"/>
      <c r="V10" s="26"/>
      <c r="W10" s="26"/>
    </row>
    <row r="11" spans="1:98" ht="30" customHeight="1" thickBot="1" x14ac:dyDescent="0.2">
      <c r="A11" s="160" t="s">
        <v>33</v>
      </c>
      <c r="B11" s="60">
        <f t="shared" si="0"/>
        <v>0</v>
      </c>
      <c r="C11" s="119"/>
      <c r="D11" s="120"/>
      <c r="E11" s="132"/>
      <c r="F11" s="121"/>
      <c r="G11" s="140">
        <f>F11</f>
        <v>0</v>
      </c>
      <c r="H11" s="62" t="str">
        <f>IF(B11=1,軽減判定!$D$27,"")</f>
        <v/>
      </c>
      <c r="I11" s="63">
        <f>IF(AND(G11&lt;軽減判定!$D$27),0,G11-H11)</f>
        <v>0</v>
      </c>
      <c r="J11" s="64">
        <f t="shared" si="1"/>
        <v>0</v>
      </c>
      <c r="K11" s="65" t="str">
        <f>IF(B11=1,$T$15,"")</f>
        <v/>
      </c>
      <c r="L11" s="66">
        <f t="shared" si="2"/>
        <v>0</v>
      </c>
      <c r="M11" s="66" t="str">
        <f>IF(B11=1,$T$18,"")</f>
        <v/>
      </c>
      <c r="N11" s="67" t="str">
        <f>IF(B11=1,IF(AND(D11&gt;=40,D11&lt;=64),I11*$T$20,""),"")</f>
        <v/>
      </c>
      <c r="O11" s="68" t="str">
        <f>IF(B11=1,IF(AND(D11&gt;=40,D11&lt;=64),$T$21,""),"")</f>
        <v/>
      </c>
      <c r="S11" s="26"/>
      <c r="T11" s="26"/>
      <c r="U11" s="26"/>
      <c r="V11" s="26"/>
      <c r="W11" s="26"/>
    </row>
    <row r="12" spans="1:98" ht="30" customHeight="1" thickTop="1" thickBot="1" x14ac:dyDescent="0.2">
      <c r="A12" s="94"/>
      <c r="B12" s="94">
        <f>SUM(B6:B11)</f>
        <v>0</v>
      </c>
      <c r="C12" s="104" t="s">
        <v>57</v>
      </c>
      <c r="D12" s="95"/>
      <c r="E12" s="95"/>
      <c r="F12" s="91" t="s">
        <v>63</v>
      </c>
      <c r="G12" s="69">
        <f>SUM(G6:G11)</f>
        <v>0</v>
      </c>
      <c r="H12" s="70">
        <f>SUM(H6:H11)</f>
        <v>0</v>
      </c>
      <c r="I12" s="71">
        <f>SUM(I6:I11)</f>
        <v>0</v>
      </c>
      <c r="J12" s="239">
        <f>SUM(J6:K11)</f>
        <v>0</v>
      </c>
      <c r="K12" s="240"/>
      <c r="L12" s="241">
        <f>SUM(L6:M11)</f>
        <v>0</v>
      </c>
      <c r="M12" s="241"/>
      <c r="N12" s="242">
        <f>SUM(N6:O11)</f>
        <v>0</v>
      </c>
      <c r="O12" s="243"/>
    </row>
    <row r="13" spans="1:98" ht="30" customHeight="1" x14ac:dyDescent="0.15">
      <c r="A13" s="72"/>
      <c r="B13" s="25">
        <f>SUM(B7:B11)</f>
        <v>0</v>
      </c>
      <c r="C13" s="233"/>
      <c r="D13" s="233"/>
      <c r="E13" s="233"/>
      <c r="I13" s="92" t="s">
        <v>7</v>
      </c>
      <c r="J13" s="234">
        <f>IF(B13&gt;0,T16,0)</f>
        <v>0</v>
      </c>
      <c r="K13" s="235"/>
      <c r="L13" s="236">
        <f>IF(B13&gt;0,T19,0)</f>
        <v>0</v>
      </c>
      <c r="M13" s="236"/>
      <c r="N13" s="237">
        <f>IF(R29&gt;0,T22,0)</f>
        <v>0</v>
      </c>
      <c r="O13" s="238"/>
      <c r="R13" s="25" t="s">
        <v>9</v>
      </c>
      <c r="U13" s="25" t="s">
        <v>75</v>
      </c>
      <c r="V13" s="27" t="s">
        <v>24</v>
      </c>
      <c r="X13" s="25"/>
      <c r="CT13" s="26"/>
    </row>
    <row r="14" spans="1:98" ht="30" customHeight="1" x14ac:dyDescent="0.15">
      <c r="A14" s="85"/>
      <c r="C14" s="25" t="s">
        <v>73</v>
      </c>
      <c r="I14" s="92" t="s">
        <v>6</v>
      </c>
      <c r="J14" s="234">
        <f>IF(SUM(J6:K11,J13)&gt;=軽減判定!B23,軽減判定!B23,SUM(J6:K11,J13))</f>
        <v>0</v>
      </c>
      <c r="K14" s="235"/>
      <c r="L14" s="236">
        <f>IF(SUM(L6:M11,L13)&gt;=軽減判定!B24,軽減判定!B24,SUM(L6:M11,L13))</f>
        <v>0</v>
      </c>
      <c r="M14" s="236"/>
      <c r="N14" s="237">
        <f>IF(SUM(N6:O11,N13)&gt;=軽減判定!B25,軽減判定!B25,SUM(N6:O11,N13))</f>
        <v>0</v>
      </c>
      <c r="O14" s="238"/>
      <c r="Q14" s="72"/>
      <c r="R14" s="97" t="s">
        <v>1</v>
      </c>
      <c r="S14" s="33" t="s">
        <v>2</v>
      </c>
      <c r="T14" s="34">
        <f>軽減判定!J3</f>
        <v>8.4000000000000005E-2</v>
      </c>
      <c r="U14" s="110"/>
      <c r="V14" s="35"/>
      <c r="X14" s="25"/>
      <c r="CT14" s="26"/>
    </row>
    <row r="15" spans="1:98" ht="30" customHeight="1" x14ac:dyDescent="0.15">
      <c r="I15" s="92" t="s">
        <v>24</v>
      </c>
      <c r="J15" s="221">
        <f>IF(B13&gt;0,V15+V16,0)</f>
        <v>0</v>
      </c>
      <c r="K15" s="222"/>
      <c r="L15" s="223">
        <f>IF(B13&gt;0,V18+V19,0)</f>
        <v>0</v>
      </c>
      <c r="M15" s="224"/>
      <c r="N15" s="225">
        <f>IF(R29&gt;0,V21+V22,0)</f>
        <v>0</v>
      </c>
      <c r="O15" s="226"/>
      <c r="R15" s="98"/>
      <c r="S15" s="33" t="s">
        <v>3</v>
      </c>
      <c r="T15" s="40">
        <f>軽減判定!J4</f>
        <v>22000</v>
      </c>
      <c r="U15" s="122">
        <f>COUNTIF(K6:K11,T15)</f>
        <v>0</v>
      </c>
      <c r="V15" s="41">
        <f>IF($H$19=$R$25,T15*0.7*U15,IF($H$19=$S$25,T15*0.5*U15,IF($H$19=$T$25,$T15*0.2*U15,0)))</f>
        <v>0</v>
      </c>
      <c r="X15" s="25"/>
      <c r="CT15" s="26"/>
    </row>
    <row r="16" spans="1:98" ht="30" customHeight="1" thickBot="1" x14ac:dyDescent="0.2">
      <c r="I16" s="92" t="s">
        <v>55</v>
      </c>
      <c r="J16" s="227">
        <f>ROUNDDOWN(J14-J15,-2)</f>
        <v>0</v>
      </c>
      <c r="K16" s="228"/>
      <c r="L16" s="229">
        <f>ROUNDDOWN(L14-L15,-2)</f>
        <v>0</v>
      </c>
      <c r="M16" s="230"/>
      <c r="N16" s="231">
        <f>ROUNDDOWN(N14-N15,-2)</f>
        <v>0</v>
      </c>
      <c r="O16" s="232"/>
      <c r="R16" s="99"/>
      <c r="S16" s="33" t="s">
        <v>5</v>
      </c>
      <c r="T16" s="40">
        <f>軽減判定!J5</f>
        <v>23900</v>
      </c>
      <c r="U16" s="111"/>
      <c r="V16" s="41">
        <f>IF($H$19=$R$25,T16*0.7,IF($H$19=$S$25,T16*0.5,IF($H$19=$T$25,$T16*0.2,0)))</f>
        <v>0</v>
      </c>
      <c r="X16" s="25"/>
      <c r="CT16" s="26"/>
    </row>
    <row r="17" spans="1:98" ht="25.5" customHeight="1" x14ac:dyDescent="0.15">
      <c r="I17" s="93" t="s">
        <v>56</v>
      </c>
      <c r="J17" s="206">
        <f>軽減判定!B23</f>
        <v>650000</v>
      </c>
      <c r="K17" s="206"/>
      <c r="L17" s="207">
        <f>軽減判定!B24</f>
        <v>220000</v>
      </c>
      <c r="M17" s="207"/>
      <c r="N17" s="208">
        <f>軽減判定!B25</f>
        <v>170000</v>
      </c>
      <c r="O17" s="208"/>
      <c r="R17" s="97" t="s">
        <v>37</v>
      </c>
      <c r="S17" s="33" t="s">
        <v>2</v>
      </c>
      <c r="T17" s="106">
        <f>軽減判定!J6</f>
        <v>2.5999999999999999E-2</v>
      </c>
      <c r="U17" s="110"/>
      <c r="V17" s="35"/>
      <c r="X17" s="25"/>
      <c r="CT17" s="26"/>
    </row>
    <row r="18" spans="1:98" ht="30" customHeight="1" thickBot="1" x14ac:dyDescent="0.2">
      <c r="P18" s="75"/>
      <c r="Q18" s="75"/>
      <c r="R18" s="98"/>
      <c r="S18" s="33" t="s">
        <v>3</v>
      </c>
      <c r="T18" s="107">
        <f>軽減判定!J7</f>
        <v>6200</v>
      </c>
      <c r="U18" s="123">
        <f>COUNTIF(M6:M11,T18)</f>
        <v>0</v>
      </c>
      <c r="V18" s="41">
        <f>IF($H$19=$R$25,T18*0.7*U18,IF($H$19=$S$25,T18*0.5*U18,IF($H$19=$T$25,$T18*0.2*U18,0)))</f>
        <v>0</v>
      </c>
      <c r="X18" s="25"/>
      <c r="CT18" s="26"/>
    </row>
    <row r="19" spans="1:98" ht="30" customHeight="1" thickTop="1" thickBot="1" x14ac:dyDescent="0.2">
      <c r="H19" s="80" t="str">
        <f>IF(B12=0,"",IF(R26&gt;=G12,R25,IF(AND(R26&lt;G12,G12&lt;=S26),S25,IF(AND(S26&lt;G12,G12&lt;=T26),T25,""))))</f>
        <v/>
      </c>
      <c r="I19" s="25" t="s">
        <v>25</v>
      </c>
      <c r="K19" s="77"/>
      <c r="L19" s="209" t="s">
        <v>48</v>
      </c>
      <c r="M19" s="210"/>
      <c r="N19" s="213">
        <f>SUM(J16:O16)</f>
        <v>0</v>
      </c>
      <c r="O19" s="214"/>
      <c r="P19" s="78"/>
      <c r="Q19" s="78"/>
      <c r="R19" s="99"/>
      <c r="S19" s="33" t="s">
        <v>5</v>
      </c>
      <c r="T19" s="107">
        <f>軽減判定!J8</f>
        <v>7100</v>
      </c>
      <c r="U19" s="111"/>
      <c r="V19" s="41">
        <f>IF($H$19=$R$25,T19*0.7,IF($H$19=$S$25,T19*0.5,IF($H$19=$T$25,$T19*0.2,0)))</f>
        <v>0</v>
      </c>
      <c r="X19" s="25"/>
      <c r="CT19" s="26"/>
    </row>
    <row r="20" spans="1:98" ht="30" customHeight="1" thickBot="1" x14ac:dyDescent="0.2">
      <c r="J20" s="77"/>
      <c r="K20" s="77"/>
      <c r="L20" s="211"/>
      <c r="M20" s="212"/>
      <c r="N20" s="215"/>
      <c r="O20" s="216"/>
      <c r="P20" s="81"/>
      <c r="Q20" s="81"/>
      <c r="R20" s="97" t="s">
        <v>4</v>
      </c>
      <c r="S20" s="33" t="s">
        <v>2</v>
      </c>
      <c r="T20" s="106">
        <f>軽減判定!J9</f>
        <v>2.5000000000000001E-2</v>
      </c>
      <c r="U20" s="110"/>
      <c r="V20" s="35"/>
      <c r="X20" s="25"/>
      <c r="CT20" s="26"/>
    </row>
    <row r="21" spans="1:98" ht="30" customHeight="1" thickTop="1" thickBot="1" x14ac:dyDescent="0.2">
      <c r="L21" s="217" t="s">
        <v>43</v>
      </c>
      <c r="M21" s="218"/>
      <c r="N21" s="219">
        <f>N19/12</f>
        <v>0</v>
      </c>
      <c r="O21" s="220"/>
      <c r="P21" s="81"/>
      <c r="Q21" s="81"/>
      <c r="R21" s="98"/>
      <c r="S21" s="33" t="s">
        <v>3</v>
      </c>
      <c r="T21" s="107">
        <f>軽減判定!J10</f>
        <v>6400</v>
      </c>
      <c r="U21" s="123">
        <f>COUNTIF(O6:O11,T21)</f>
        <v>0</v>
      </c>
      <c r="V21" s="41">
        <f>IF($H$19=$R$25,T21*0.7*U21,IF($H$19=$S$25,T21*0.5*U21,IF($H$19=$T$25,$T21*0.2*U21,0)))</f>
        <v>0</v>
      </c>
      <c r="X21" s="25"/>
      <c r="CT21" s="26"/>
    </row>
    <row r="22" spans="1:98" ht="30" customHeight="1" thickBot="1" x14ac:dyDescent="0.2">
      <c r="L22" s="199">
        <f>COUNTIF(B7:B11,1)</f>
        <v>0</v>
      </c>
      <c r="M22" s="200"/>
      <c r="N22" s="201" t="s">
        <v>44</v>
      </c>
      <c r="O22" s="202"/>
      <c r="P22" s="81"/>
      <c r="Q22" s="81"/>
      <c r="R22" s="99"/>
      <c r="S22" s="33" t="s">
        <v>5</v>
      </c>
      <c r="T22" s="107">
        <f>軽減判定!J11</f>
        <v>6700</v>
      </c>
      <c r="U22" s="111"/>
      <c r="V22" s="73">
        <f>IF($H$19=$R$25,T22*0.7,IF($H$19=$S$25,T22*0.5,IF($H$19=$T$25,$T22*0.2,0)))</f>
        <v>0</v>
      </c>
      <c r="X22" s="25"/>
      <c r="CT22" s="26"/>
    </row>
    <row r="23" spans="1:98" ht="30" customHeight="1" x14ac:dyDescent="0.15">
      <c r="M23" s="81"/>
      <c r="N23" s="81"/>
      <c r="O23" s="81"/>
      <c r="P23" s="81"/>
      <c r="Q23" s="81"/>
    </row>
    <row r="24" spans="1:98" ht="22.5" customHeight="1" x14ac:dyDescent="0.15">
      <c r="M24" s="81"/>
      <c r="N24" s="81"/>
      <c r="O24" s="81"/>
      <c r="P24" s="82"/>
      <c r="Q24" s="82"/>
      <c r="R24" s="25" t="s">
        <v>26</v>
      </c>
      <c r="V24" s="134" t="s">
        <v>96</v>
      </c>
    </row>
    <row r="25" spans="1:98" ht="22.5" customHeight="1" x14ac:dyDescent="0.15">
      <c r="M25" s="81"/>
      <c r="N25" s="81"/>
      <c r="O25" s="81"/>
      <c r="P25" s="82"/>
      <c r="Q25" s="82"/>
      <c r="R25" s="74" t="s">
        <v>16</v>
      </c>
      <c r="S25" s="74" t="s">
        <v>19</v>
      </c>
      <c r="T25" s="74" t="s">
        <v>21</v>
      </c>
      <c r="V25" s="134"/>
    </row>
    <row r="26" spans="1:98" ht="22.5" customHeight="1" x14ac:dyDescent="0.15">
      <c r="M26" s="82"/>
      <c r="N26" s="82"/>
      <c r="O26" s="82"/>
      <c r="P26" s="83"/>
      <c r="Q26" s="83"/>
      <c r="R26" s="76">
        <f>(430000+IF(100000*(COUNTIF(E6:E11,"〇")-1)&lt;=0,0,100000*(COUNTIF(E6:E11,"〇")-1)))</f>
        <v>430000</v>
      </c>
      <c r="S26" s="76">
        <f>(430000+(285000*B13)+IF(100000*(COUNTIF(E6:E11,"〇")-1)&lt;=0,0,100000*(COUNTIF(E6:E11,"〇")-1)))</f>
        <v>430000</v>
      </c>
      <c r="T26" s="76">
        <f>(430000+(520000*B13)+IF(100000*(COUNTIF(E6:E11,"〇")-1)&lt;=0,0,100000*(COUNTIF(E6:E11,"〇")-1)))</f>
        <v>430000</v>
      </c>
      <c r="V26" s="133" t="s">
        <v>94</v>
      </c>
    </row>
    <row r="27" spans="1:98" ht="22.5" customHeight="1" x14ac:dyDescent="0.15">
      <c r="A27" s="84"/>
      <c r="M27" s="82"/>
      <c r="N27" s="82"/>
      <c r="O27" s="82"/>
      <c r="R27" s="79" t="s">
        <v>27</v>
      </c>
      <c r="S27" s="79" t="s">
        <v>27</v>
      </c>
      <c r="T27" s="79" t="s">
        <v>27</v>
      </c>
    </row>
    <row r="28" spans="1:98" ht="22.5" customHeight="1" x14ac:dyDescent="0.15">
      <c r="M28" s="83"/>
      <c r="N28" s="83"/>
      <c r="O28" s="83"/>
      <c r="R28" s="25" t="s">
        <v>64</v>
      </c>
    </row>
    <row r="29" spans="1:98" ht="22.5" customHeight="1" x14ac:dyDescent="0.15">
      <c r="R29" s="25">
        <f>COUNTIFS(D7:D11,"&gt;=40",D7:D11,"&lt;65")</f>
        <v>0</v>
      </c>
    </row>
    <row r="30" spans="1:98" ht="22.5" customHeight="1" x14ac:dyDescent="0.15"/>
    <row r="31" spans="1:98" ht="22.5" customHeight="1" x14ac:dyDescent="0.15"/>
    <row r="32" spans="1:98" ht="22.5" customHeight="1" x14ac:dyDescent="0.15"/>
    <row r="33" ht="22.5" customHeight="1" x14ac:dyDescent="0.15"/>
    <row r="34" ht="22.5" customHeight="1" x14ac:dyDescent="0.15"/>
    <row r="35" ht="22.5" customHeight="1" x14ac:dyDescent="0.15"/>
    <row r="36" ht="22.5" customHeight="1" x14ac:dyDescent="0.15"/>
    <row r="37" ht="23.25" customHeight="1" x14ac:dyDescent="0.15"/>
  </sheetData>
  <sheetProtection algorithmName="SHA-512" hashValue="Zxp2+JEnW814fOy1VsRdBSkcvoBIardihKVLl8Iq1QfQkmNTw2vUEvRGT1e8IfMto3g3YoGyDW2TTjomftDUdA==" saltValue="X5/OiQb/PRu5VsebA2HL0w==" spinCount="100000" sheet="1" objects="1" selectLockedCells="1"/>
  <dataConsolidate/>
  <mergeCells count="35">
    <mergeCell ref="L22:M22"/>
    <mergeCell ref="N22:O22"/>
    <mergeCell ref="E3:E5"/>
    <mergeCell ref="J17:K17"/>
    <mergeCell ref="L17:M17"/>
    <mergeCell ref="N17:O17"/>
    <mergeCell ref="L19:M20"/>
    <mergeCell ref="N19:O20"/>
    <mergeCell ref="L21:M21"/>
    <mergeCell ref="N21:O21"/>
    <mergeCell ref="J15:K15"/>
    <mergeCell ref="L15:M15"/>
    <mergeCell ref="N15:O15"/>
    <mergeCell ref="J16:K16"/>
    <mergeCell ref="L16:M16"/>
    <mergeCell ref="N16:O16"/>
    <mergeCell ref="C13:E13"/>
    <mergeCell ref="J13:K13"/>
    <mergeCell ref="L13:M13"/>
    <mergeCell ref="N13:O13"/>
    <mergeCell ref="J14:K14"/>
    <mergeCell ref="L14:M14"/>
    <mergeCell ref="N14:O14"/>
    <mergeCell ref="J12:K12"/>
    <mergeCell ref="L12:M12"/>
    <mergeCell ref="N12:O12"/>
    <mergeCell ref="A3:C5"/>
    <mergeCell ref="D3:D5"/>
    <mergeCell ref="F3:F5"/>
    <mergeCell ref="G3:G5"/>
    <mergeCell ref="H3:H5"/>
    <mergeCell ref="I3:I5"/>
    <mergeCell ref="J3:K3"/>
    <mergeCell ref="L3:M3"/>
    <mergeCell ref="N3:O3"/>
  </mergeCells>
  <phoneticPr fontId="2"/>
  <dataValidations xWindow="287" yWindow="513" count="6">
    <dataValidation allowBlank="1" showInputMessage="1" showErrorMessage="1" promptTitle="平等割用のやつ" prompt="世帯員が入力されたら平等割表示する仕様" sqref="B13" xr:uid="{8082141D-6E31-4856-8E83-364D608D2A45}"/>
    <dataValidation allowBlank="1" showInputMessage="1" showErrorMessage="1" promptTitle="加入する日付時点での年齢を入力してください。" prompt="数字で入力します。" sqref="D6:D11" xr:uid="{FB3EE54E-6482-40C0-A8A5-06932CD63D95}"/>
    <dataValidation allowBlank="1" showInputMessage="1" showErrorMessage="1" promptTitle="加入する方のお名前を入力してください。" prompt="父，母，子や数字でも可です。" sqref="C6:C11" xr:uid="{9E4BD1D3-F2E5-48E6-83AB-3D0BD5B4ABE9}"/>
    <dataValidation allowBlank="1" showInputMessage="1" showErrorMessage="1" promptTitle="昨年中（１月～12月）の合計所得金額を入力します。" prompt="～万円、～千円等では計算できません。_x000a_数字を入力してください。_x000a__x000a_入力する金額については、_x000a_別シート「所得金額とは」をご覧ください。" sqref="F6:F11" xr:uid="{5D9C612A-3393-473E-BDFA-C966B41818E4}"/>
    <dataValidation allowBlank="1" showInputMessage="1" showErrorMessage="1" prompt="総所得金額を数字で入力してください。※「～万円」や「～円」などの漢字は不可。_x000a_入力する金額については別シート「所得金額とは」をご覧ください。" sqref="G6:G11" xr:uid="{A688D602-7D6F-4E6A-A895-A909A2F7E0E9}"/>
    <dataValidation type="list" allowBlank="1" showInputMessage="1" showErrorMessage="1" promptTitle="給与所得、年金所得がある方には" prompt="〇をつけてください。" sqref="E6:E11" xr:uid="{6205C001-DA9E-47F0-BFDD-EA75EACCD517}">
      <formula1>$V$25:$V$26</formula1>
    </dataValidation>
  </dataValidations>
  <printOptions horizontalCentered="1" verticalCentered="1"/>
  <pageMargins left="0.23622047244094491" right="0.23622047244094491" top="0.74803149606299213" bottom="0.74803149606299213" header="0.31496062992125984" footer="0.31496062992125984"/>
  <pageSetup paperSize="9" scale="7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N64"/>
  <sheetViews>
    <sheetView view="pageBreakPreview" zoomScale="60" zoomScaleNormal="100" workbookViewId="0">
      <selection activeCell="G30" sqref="G30"/>
    </sheetView>
  </sheetViews>
  <sheetFormatPr defaultRowHeight="13.5" x14ac:dyDescent="0.15"/>
  <cols>
    <col min="1" max="1" width="15.625" style="2" bestFit="1" customWidth="1"/>
    <col min="2" max="2" width="28.375" style="2" customWidth="1"/>
    <col min="3" max="6" width="13.75" style="2" customWidth="1"/>
    <col min="7" max="7" width="14.125" style="2" bestFit="1" customWidth="1"/>
    <col min="8" max="8" width="13.875" style="2" bestFit="1" customWidth="1"/>
    <col min="9" max="9" width="19.5" style="2" customWidth="1"/>
    <col min="10" max="10" width="14.875" style="2" bestFit="1" customWidth="1"/>
    <col min="11" max="12" width="13.375" style="2" bestFit="1" customWidth="1"/>
    <col min="13" max="27" width="8.375" style="2" customWidth="1"/>
    <col min="28" max="16384" width="9" style="2"/>
  </cols>
  <sheetData>
    <row r="1" spans="1:10" ht="17.25" x14ac:dyDescent="0.15">
      <c r="A1" s="1" t="s">
        <v>15</v>
      </c>
      <c r="H1" s="2" t="s">
        <v>76</v>
      </c>
    </row>
    <row r="3" spans="1:10" s="10" customFormat="1" ht="33.75" customHeight="1" x14ac:dyDescent="0.15">
      <c r="A3" s="4" t="s">
        <v>16</v>
      </c>
      <c r="B3" s="5" t="s">
        <v>17</v>
      </c>
      <c r="C3" s="6">
        <v>430000</v>
      </c>
      <c r="D3" s="7" t="s">
        <v>18</v>
      </c>
      <c r="E3" s="8"/>
      <c r="F3" s="9"/>
      <c r="H3" s="97" t="s">
        <v>1</v>
      </c>
      <c r="I3" s="33" t="s">
        <v>2</v>
      </c>
      <c r="J3" s="106">
        <v>8.4000000000000005E-2</v>
      </c>
    </row>
    <row r="4" spans="1:10" s="10" customFormat="1" ht="33.75" customHeight="1" x14ac:dyDescent="0.15">
      <c r="A4" s="4" t="s">
        <v>19</v>
      </c>
      <c r="B4" s="5" t="s">
        <v>17</v>
      </c>
      <c r="C4" s="6">
        <v>430000</v>
      </c>
      <c r="D4" s="11" t="s">
        <v>22</v>
      </c>
      <c r="E4" s="6">
        <v>290000</v>
      </c>
      <c r="F4" s="12" t="s">
        <v>20</v>
      </c>
      <c r="H4" s="98"/>
      <c r="I4" s="33" t="s">
        <v>3</v>
      </c>
      <c r="J4" s="107">
        <v>22000</v>
      </c>
    </row>
    <row r="5" spans="1:10" s="10" customFormat="1" ht="33.75" customHeight="1" x14ac:dyDescent="0.15">
      <c r="A5" s="4" t="s">
        <v>21</v>
      </c>
      <c r="B5" s="5" t="s">
        <v>17</v>
      </c>
      <c r="C5" s="6">
        <v>430000</v>
      </c>
      <c r="D5" s="11" t="s">
        <v>22</v>
      </c>
      <c r="E5" s="6">
        <v>535000</v>
      </c>
      <c r="F5" s="12" t="s">
        <v>20</v>
      </c>
      <c r="H5" s="99"/>
      <c r="I5" s="33" t="s">
        <v>5</v>
      </c>
      <c r="J5" s="107">
        <v>23900</v>
      </c>
    </row>
    <row r="6" spans="1:10" s="10" customFormat="1" x14ac:dyDescent="0.15">
      <c r="H6" s="97" t="s">
        <v>37</v>
      </c>
      <c r="I6" s="33" t="s">
        <v>2</v>
      </c>
      <c r="J6" s="106">
        <v>2.5999999999999999E-2</v>
      </c>
    </row>
    <row r="7" spans="1:10" s="10" customFormat="1" x14ac:dyDescent="0.15">
      <c r="H7" s="98"/>
      <c r="I7" s="33" t="s">
        <v>3</v>
      </c>
      <c r="J7" s="107">
        <v>6200</v>
      </c>
    </row>
    <row r="8" spans="1:10" s="10" customFormat="1" x14ac:dyDescent="0.15">
      <c r="H8" s="99"/>
      <c r="I8" s="33" t="s">
        <v>5</v>
      </c>
      <c r="J8" s="107">
        <v>7100</v>
      </c>
    </row>
    <row r="9" spans="1:10" s="10" customFormat="1" ht="22.5" customHeight="1" x14ac:dyDescent="0.15">
      <c r="A9" s="13"/>
      <c r="B9" s="4" t="s">
        <v>23</v>
      </c>
      <c r="C9" s="4" t="s">
        <v>19</v>
      </c>
      <c r="D9" s="4" t="s">
        <v>21</v>
      </c>
      <c r="H9" s="97" t="s">
        <v>4</v>
      </c>
      <c r="I9" s="33" t="s">
        <v>2</v>
      </c>
      <c r="J9" s="106">
        <v>2.5000000000000001E-2</v>
      </c>
    </row>
    <row r="10" spans="1:10" s="10" customFormat="1" ht="22.5" customHeight="1" x14ac:dyDescent="0.15">
      <c r="A10" s="15">
        <v>1</v>
      </c>
      <c r="B10" s="14">
        <f>$C$3</f>
        <v>430000</v>
      </c>
      <c r="C10" s="14">
        <f>SUM($C$4,$E$4)</f>
        <v>720000</v>
      </c>
      <c r="D10" s="14">
        <f>SUM($C$5,$E$5)</f>
        <v>965000</v>
      </c>
      <c r="H10" s="98"/>
      <c r="I10" s="33" t="s">
        <v>3</v>
      </c>
      <c r="J10" s="107">
        <v>6400</v>
      </c>
    </row>
    <row r="11" spans="1:10" s="10" customFormat="1" ht="22.5" customHeight="1" x14ac:dyDescent="0.15">
      <c r="A11" s="15">
        <v>2</v>
      </c>
      <c r="B11" s="14">
        <f t="shared" ref="B11:B19" si="0">$C$3</f>
        <v>430000</v>
      </c>
      <c r="C11" s="14">
        <f>SUM($C$4,$E$4*2)</f>
        <v>1010000</v>
      </c>
      <c r="D11" s="14">
        <f>SUM($C$5,$E$5*2)</f>
        <v>1500000</v>
      </c>
      <c r="H11" s="99"/>
      <c r="I11" s="33" t="s">
        <v>5</v>
      </c>
      <c r="J11" s="107">
        <v>6700</v>
      </c>
    </row>
    <row r="12" spans="1:10" s="10" customFormat="1" ht="22.5" customHeight="1" x14ac:dyDescent="0.15">
      <c r="A12" s="15">
        <v>3</v>
      </c>
      <c r="B12" s="14">
        <f t="shared" si="0"/>
        <v>430000</v>
      </c>
      <c r="C12" s="14">
        <f>SUM($C$4,$E$4*3)</f>
        <v>1300000</v>
      </c>
      <c r="D12" s="14">
        <f>SUM($C$5,$E$5*3)</f>
        <v>2035000</v>
      </c>
    </row>
    <row r="13" spans="1:10" s="10" customFormat="1" ht="22.5" customHeight="1" x14ac:dyDescent="0.15">
      <c r="A13" s="15">
        <v>4</v>
      </c>
      <c r="B13" s="14">
        <f t="shared" si="0"/>
        <v>430000</v>
      </c>
      <c r="C13" s="14">
        <f>SUM($C$4,$E$4*4)</f>
        <v>1590000</v>
      </c>
      <c r="D13" s="14">
        <f>SUM($C$5,$E$5*4)</f>
        <v>2570000</v>
      </c>
    </row>
    <row r="14" spans="1:10" s="10" customFormat="1" ht="22.5" customHeight="1" x14ac:dyDescent="0.15">
      <c r="A14" s="15">
        <v>5</v>
      </c>
      <c r="B14" s="14">
        <f t="shared" si="0"/>
        <v>430000</v>
      </c>
      <c r="C14" s="14">
        <f>SUM($C$4,$E$4*5)</f>
        <v>1880000</v>
      </c>
      <c r="D14" s="14">
        <f>SUM($C$5,$E$5*5)</f>
        <v>3105000</v>
      </c>
    </row>
    <row r="15" spans="1:10" s="10" customFormat="1" ht="22.5" customHeight="1" x14ac:dyDescent="0.15">
      <c r="A15" s="15">
        <v>6</v>
      </c>
      <c r="B15" s="14">
        <f t="shared" si="0"/>
        <v>430000</v>
      </c>
      <c r="C15" s="14">
        <f>SUM($C$4,$E$4*6)</f>
        <v>2170000</v>
      </c>
      <c r="D15" s="14">
        <f>SUM($C$5,$E$5*6)</f>
        <v>3640000</v>
      </c>
    </row>
    <row r="16" spans="1:10" s="10" customFormat="1" ht="22.5" customHeight="1" x14ac:dyDescent="0.15">
      <c r="A16" s="15">
        <v>7</v>
      </c>
      <c r="B16" s="14">
        <f t="shared" si="0"/>
        <v>430000</v>
      </c>
      <c r="C16" s="14">
        <f>SUM($C$4,$E$4*7)</f>
        <v>2460000</v>
      </c>
      <c r="D16" s="14">
        <f>SUM($C$5,$E$5*7)</f>
        <v>4175000</v>
      </c>
    </row>
    <row r="17" spans="1:12" s="10" customFormat="1" ht="22.5" customHeight="1" x14ac:dyDescent="0.15">
      <c r="A17" s="15">
        <v>8</v>
      </c>
      <c r="B17" s="14">
        <f t="shared" si="0"/>
        <v>430000</v>
      </c>
      <c r="C17" s="14">
        <f>SUM($C$4,$E$4*8)</f>
        <v>2750000</v>
      </c>
      <c r="D17" s="14">
        <f>SUM($C$5,$E$5*8)</f>
        <v>4710000</v>
      </c>
    </row>
    <row r="18" spans="1:12" s="10" customFormat="1" ht="22.5" customHeight="1" x14ac:dyDescent="0.15">
      <c r="A18" s="15">
        <v>9</v>
      </c>
      <c r="B18" s="14">
        <f t="shared" si="0"/>
        <v>430000</v>
      </c>
      <c r="C18" s="14">
        <f>SUM($C$4,$E$4*9)</f>
        <v>3040000</v>
      </c>
      <c r="D18" s="14">
        <f>SUM($C$5,$E$5*9)</f>
        <v>5245000</v>
      </c>
    </row>
    <row r="19" spans="1:12" s="10" customFormat="1" ht="22.5" customHeight="1" x14ac:dyDescent="0.15">
      <c r="A19" s="15">
        <v>10</v>
      </c>
      <c r="B19" s="14">
        <f t="shared" si="0"/>
        <v>430000</v>
      </c>
      <c r="C19" s="14">
        <f>SUM($C$4,$E$4*10)</f>
        <v>3330000</v>
      </c>
      <c r="D19" s="14">
        <f>SUM($C$5,$E$5*10)</f>
        <v>5780000</v>
      </c>
    </row>
    <row r="21" spans="1:12" x14ac:dyDescent="0.15">
      <c r="A21" s="2" t="s">
        <v>39</v>
      </c>
    </row>
    <row r="22" spans="1:12" x14ac:dyDescent="0.15">
      <c r="A22" s="100"/>
      <c r="B22" s="100"/>
      <c r="C22" s="100"/>
      <c r="D22" s="100"/>
      <c r="E22" s="100"/>
      <c r="F22" s="100"/>
      <c r="G22" s="100"/>
      <c r="H22" s="100"/>
      <c r="I22" s="100"/>
      <c r="J22" s="100"/>
    </row>
    <row r="23" spans="1:12" x14ac:dyDescent="0.15">
      <c r="A23" s="3" t="s">
        <v>40</v>
      </c>
      <c r="B23" s="3">
        <v>650000</v>
      </c>
      <c r="C23" s="100"/>
      <c r="D23" s="100"/>
      <c r="E23" s="100"/>
      <c r="F23" s="100"/>
      <c r="G23" s="100"/>
      <c r="H23" s="100"/>
      <c r="I23" s="100"/>
      <c r="J23" s="100"/>
    </row>
    <row r="24" spans="1:12" x14ac:dyDescent="0.15">
      <c r="A24" s="3" t="s">
        <v>41</v>
      </c>
      <c r="B24" s="3">
        <v>220000</v>
      </c>
      <c r="C24" s="100"/>
      <c r="D24" s="100"/>
      <c r="E24" s="100"/>
      <c r="F24" s="100"/>
      <c r="G24" s="100"/>
      <c r="H24" s="100"/>
      <c r="I24" s="100"/>
      <c r="J24" s="100"/>
    </row>
    <row r="25" spans="1:12" x14ac:dyDescent="0.15">
      <c r="A25" s="3" t="s">
        <v>42</v>
      </c>
      <c r="B25" s="3">
        <v>170000</v>
      </c>
      <c r="C25" s="100"/>
      <c r="D25" s="100"/>
      <c r="E25" s="100"/>
      <c r="F25" s="100"/>
      <c r="G25" s="100"/>
      <c r="H25" s="100"/>
      <c r="I25" s="100"/>
      <c r="J25" s="100"/>
    </row>
    <row r="26" spans="1:12" ht="14.25" thickBot="1" x14ac:dyDescent="0.2">
      <c r="A26" s="100"/>
      <c r="B26" s="100"/>
      <c r="C26" s="100"/>
      <c r="D26" s="100"/>
      <c r="E26" s="100"/>
      <c r="F26" s="100"/>
      <c r="G26" s="100"/>
      <c r="H26" s="100"/>
      <c r="I26" s="100"/>
      <c r="J26" s="100"/>
    </row>
    <row r="27" spans="1:12" ht="14.25" thickBot="1" x14ac:dyDescent="0.2">
      <c r="A27" s="100" t="s">
        <v>74</v>
      </c>
      <c r="B27" s="100"/>
      <c r="C27" s="108" t="s">
        <v>77</v>
      </c>
      <c r="D27" s="109">
        <v>430000</v>
      </c>
      <c r="E27" s="100"/>
      <c r="F27" s="100"/>
      <c r="G27" s="100"/>
      <c r="H27" s="100"/>
      <c r="I27" s="100"/>
      <c r="J27" s="100"/>
    </row>
    <row r="28" spans="1:12" ht="20.25" customHeight="1" x14ac:dyDescent="0.15">
      <c r="A28" s="101"/>
      <c r="B28" s="101"/>
      <c r="C28" s="101"/>
      <c r="D28" s="101"/>
      <c r="E28" s="101"/>
      <c r="F28" s="101"/>
      <c r="H28" s="155" t="s">
        <v>50</v>
      </c>
      <c r="I28" s="101"/>
    </row>
    <row r="29" spans="1:12" ht="20.25" customHeight="1" x14ac:dyDescent="0.15">
      <c r="A29" s="147" t="s">
        <v>49</v>
      </c>
      <c r="B29" s="147" t="s">
        <v>92</v>
      </c>
      <c r="C29" s="147" t="s">
        <v>65</v>
      </c>
      <c r="D29" s="147" t="s">
        <v>69</v>
      </c>
      <c r="E29" s="147" t="s">
        <v>70</v>
      </c>
      <c r="F29" s="147" t="s">
        <v>71</v>
      </c>
      <c r="G29" s="101"/>
      <c r="H29" s="147" t="s">
        <v>51</v>
      </c>
      <c r="I29" s="147"/>
      <c r="J29" s="147"/>
      <c r="K29" s="147"/>
      <c r="L29" s="147"/>
    </row>
    <row r="30" spans="1:12" ht="20.25" customHeight="1" x14ac:dyDescent="0.15">
      <c r="A30" s="147">
        <v>0</v>
      </c>
      <c r="B30" s="148">
        <v>0</v>
      </c>
      <c r="C30" s="147"/>
      <c r="D30" s="147">
        <v>0</v>
      </c>
      <c r="E30" s="147"/>
      <c r="F30" s="147"/>
      <c r="G30" s="101"/>
      <c r="H30" s="147" t="s">
        <v>52</v>
      </c>
      <c r="I30" s="147" t="s">
        <v>92</v>
      </c>
      <c r="J30" s="147" t="s">
        <v>72</v>
      </c>
      <c r="K30" s="147" t="s">
        <v>69</v>
      </c>
      <c r="L30" s="147" t="s">
        <v>70</v>
      </c>
    </row>
    <row r="31" spans="1:12" ht="20.25" customHeight="1" x14ac:dyDescent="0.15">
      <c r="A31" s="147">
        <v>651000</v>
      </c>
      <c r="B31" s="148" t="s">
        <v>78</v>
      </c>
      <c r="C31" s="147" t="s">
        <v>66</v>
      </c>
      <c r="D31" s="147">
        <v>-650000</v>
      </c>
      <c r="E31" s="147"/>
      <c r="F31" s="147"/>
      <c r="G31" s="101"/>
      <c r="H31" s="147">
        <v>1299999</v>
      </c>
      <c r="I31" s="148" t="s">
        <v>88</v>
      </c>
      <c r="J31" s="147" t="s">
        <v>68</v>
      </c>
      <c r="K31" s="147">
        <v>-700000</v>
      </c>
      <c r="L31" s="147"/>
    </row>
    <row r="32" spans="1:12" ht="20.25" customHeight="1" x14ac:dyDescent="0.15">
      <c r="A32" s="147">
        <v>1619000</v>
      </c>
      <c r="B32" s="148" t="s">
        <v>79</v>
      </c>
      <c r="C32" s="147" t="s">
        <v>67</v>
      </c>
      <c r="D32" s="147">
        <v>969000</v>
      </c>
      <c r="E32" s="147"/>
      <c r="F32" s="147"/>
      <c r="G32" s="101"/>
      <c r="H32" s="147">
        <v>1300000</v>
      </c>
      <c r="I32" s="148" t="s">
        <v>89</v>
      </c>
      <c r="J32" s="147" t="s">
        <v>68</v>
      </c>
      <c r="K32" s="150">
        <v>0.75</v>
      </c>
      <c r="L32" s="147">
        <v>-375000</v>
      </c>
    </row>
    <row r="33" spans="1:14" ht="20.25" customHeight="1" x14ac:dyDescent="0.15">
      <c r="A33" s="147">
        <v>1620000</v>
      </c>
      <c r="B33" s="148" t="s">
        <v>80</v>
      </c>
      <c r="C33" s="147" t="s">
        <v>67</v>
      </c>
      <c r="D33" s="147">
        <v>970000</v>
      </c>
      <c r="E33" s="147"/>
      <c r="F33" s="147"/>
      <c r="G33" s="101"/>
      <c r="H33" s="147">
        <v>4100000</v>
      </c>
      <c r="I33" s="148" t="s">
        <v>90</v>
      </c>
      <c r="J33" s="147" t="s">
        <v>68</v>
      </c>
      <c r="K33" s="150">
        <v>0.85</v>
      </c>
      <c r="L33" s="147">
        <v>-785000</v>
      </c>
    </row>
    <row r="34" spans="1:14" ht="20.25" customHeight="1" x14ac:dyDescent="0.15">
      <c r="A34" s="147">
        <v>1622000</v>
      </c>
      <c r="B34" s="148" t="s">
        <v>81</v>
      </c>
      <c r="C34" s="147" t="s">
        <v>67</v>
      </c>
      <c r="D34" s="147">
        <v>972000</v>
      </c>
      <c r="E34" s="147"/>
      <c r="F34" s="147"/>
      <c r="G34" s="101"/>
      <c r="H34" s="147">
        <v>7700000</v>
      </c>
      <c r="I34" s="148" t="s">
        <v>91</v>
      </c>
      <c r="J34" s="147" t="s">
        <v>68</v>
      </c>
      <c r="K34" s="150">
        <v>0.95</v>
      </c>
      <c r="L34" s="147">
        <v>-1555000</v>
      </c>
    </row>
    <row r="35" spans="1:14" ht="20.25" customHeight="1" x14ac:dyDescent="0.15">
      <c r="A35" s="147">
        <v>1624000</v>
      </c>
      <c r="B35" s="148" t="s">
        <v>82</v>
      </c>
      <c r="C35" s="147" t="s">
        <v>67</v>
      </c>
      <c r="D35" s="147">
        <v>974000</v>
      </c>
      <c r="E35" s="147"/>
      <c r="F35" s="147"/>
      <c r="G35" s="101"/>
      <c r="H35" s="151" t="s">
        <v>54</v>
      </c>
      <c r="I35" s="152"/>
      <c r="J35" s="152"/>
      <c r="K35" s="152"/>
      <c r="L35" s="153"/>
    </row>
    <row r="36" spans="1:14" ht="20.25" customHeight="1" x14ac:dyDescent="0.15">
      <c r="A36" s="147">
        <v>1628000</v>
      </c>
      <c r="B36" s="148" t="s">
        <v>83</v>
      </c>
      <c r="C36" s="147" t="s">
        <v>66</v>
      </c>
      <c r="D36" s="147">
        <v>4</v>
      </c>
      <c r="E36" s="149">
        <v>2.4</v>
      </c>
      <c r="F36" s="147"/>
      <c r="G36" s="101"/>
      <c r="H36" s="147" t="s">
        <v>52</v>
      </c>
      <c r="I36" s="147" t="s">
        <v>92</v>
      </c>
      <c r="J36" s="147" t="s">
        <v>53</v>
      </c>
      <c r="K36" s="147" t="s">
        <v>69</v>
      </c>
      <c r="L36" s="147" t="s">
        <v>70</v>
      </c>
    </row>
    <row r="37" spans="1:14" ht="20.25" customHeight="1" x14ac:dyDescent="0.15">
      <c r="A37" s="147">
        <v>1800000</v>
      </c>
      <c r="B37" s="148" t="s">
        <v>84</v>
      </c>
      <c r="C37" s="147" t="s">
        <v>66</v>
      </c>
      <c r="D37" s="147">
        <v>4</v>
      </c>
      <c r="E37" s="149">
        <v>2.8</v>
      </c>
      <c r="F37" s="147">
        <v>-180000</v>
      </c>
      <c r="G37" s="101"/>
      <c r="H37" s="147">
        <v>3299999</v>
      </c>
      <c r="I37" s="148" t="s">
        <v>88</v>
      </c>
      <c r="J37" s="147" t="s">
        <v>68</v>
      </c>
      <c r="K37" s="147">
        <v>-1200000</v>
      </c>
      <c r="L37" s="147"/>
    </row>
    <row r="38" spans="1:14" ht="20.25" customHeight="1" x14ac:dyDescent="0.15">
      <c r="A38" s="147">
        <v>3600000</v>
      </c>
      <c r="B38" s="148" t="s">
        <v>85</v>
      </c>
      <c r="C38" s="147" t="s">
        <v>66</v>
      </c>
      <c r="D38" s="147">
        <v>4</v>
      </c>
      <c r="E38" s="149">
        <v>3.2</v>
      </c>
      <c r="F38" s="147">
        <v>-540000</v>
      </c>
      <c r="G38" s="101"/>
      <c r="H38" s="147">
        <v>3300000</v>
      </c>
      <c r="I38" s="148" t="s">
        <v>89</v>
      </c>
      <c r="J38" s="147" t="s">
        <v>68</v>
      </c>
      <c r="K38" s="150">
        <v>0.75</v>
      </c>
      <c r="L38" s="147">
        <v>-375000</v>
      </c>
    </row>
    <row r="39" spans="1:14" ht="20.25" customHeight="1" x14ac:dyDescent="0.15">
      <c r="A39" s="147">
        <v>6600000</v>
      </c>
      <c r="B39" s="148" t="s">
        <v>86</v>
      </c>
      <c r="C39" s="147" t="s">
        <v>68</v>
      </c>
      <c r="D39" s="149">
        <v>0.9</v>
      </c>
      <c r="E39" s="147">
        <v>-1200000</v>
      </c>
      <c r="F39" s="147"/>
      <c r="G39" s="101"/>
      <c r="H39" s="147">
        <v>4100000</v>
      </c>
      <c r="I39" s="148" t="s">
        <v>90</v>
      </c>
      <c r="J39" s="147" t="s">
        <v>68</v>
      </c>
      <c r="K39" s="150">
        <v>0.85</v>
      </c>
      <c r="L39" s="147">
        <v>-785000</v>
      </c>
    </row>
    <row r="40" spans="1:14" ht="20.25" customHeight="1" x14ac:dyDescent="0.15">
      <c r="A40" s="147">
        <v>10000000</v>
      </c>
      <c r="B40" s="148" t="s">
        <v>87</v>
      </c>
      <c r="C40" s="147" t="s">
        <v>68</v>
      </c>
      <c r="D40" s="147">
        <v>-2200000</v>
      </c>
      <c r="E40" s="147"/>
      <c r="F40" s="147"/>
      <c r="G40" s="101"/>
      <c r="H40" s="147">
        <v>7700000</v>
      </c>
      <c r="I40" s="148" t="s">
        <v>91</v>
      </c>
      <c r="J40" s="147" t="s">
        <v>68</v>
      </c>
      <c r="K40" s="150">
        <v>0.95</v>
      </c>
      <c r="L40" s="147">
        <v>-1555000</v>
      </c>
    </row>
    <row r="41" spans="1:14" ht="20.25" customHeight="1" x14ac:dyDescent="0.15"/>
    <row r="42" spans="1:14" ht="20.25" customHeight="1" x14ac:dyDescent="0.15"/>
    <row r="43" spans="1:14" ht="20.25" customHeight="1" x14ac:dyDescent="0.15">
      <c r="H43" s="105" t="s">
        <v>50</v>
      </c>
      <c r="I43" s="101"/>
    </row>
    <row r="44" spans="1:14" ht="20.25" customHeight="1" x14ac:dyDescent="0.15">
      <c r="H44" s="147" t="s">
        <v>97</v>
      </c>
      <c r="I44" s="147"/>
      <c r="J44" s="147"/>
      <c r="K44" s="147"/>
      <c r="L44" s="154"/>
      <c r="M44" s="154"/>
      <c r="N44" s="154"/>
    </row>
    <row r="45" spans="1:14" ht="20.25" customHeight="1" x14ac:dyDescent="0.15">
      <c r="H45" s="265" t="s">
        <v>99</v>
      </c>
      <c r="I45" s="262" t="s">
        <v>100</v>
      </c>
      <c r="J45" s="263"/>
      <c r="K45" s="264"/>
      <c r="L45" s="154"/>
      <c r="M45" s="154"/>
      <c r="N45" s="154"/>
    </row>
    <row r="46" spans="1:14" ht="20.25" customHeight="1" x14ac:dyDescent="0.15">
      <c r="H46" s="266"/>
      <c r="I46" s="147">
        <v>9990000</v>
      </c>
      <c r="J46" s="147">
        <v>10000000</v>
      </c>
      <c r="K46" s="147">
        <v>2000000</v>
      </c>
      <c r="L46" s="147" t="s">
        <v>65</v>
      </c>
      <c r="M46" s="147" t="s">
        <v>69</v>
      </c>
      <c r="N46" s="147" t="s">
        <v>70</v>
      </c>
    </row>
    <row r="47" spans="1:14" ht="20.25" customHeight="1" x14ac:dyDescent="0.15">
      <c r="H47" s="147">
        <v>1299999</v>
      </c>
      <c r="I47" s="148" t="s">
        <v>88</v>
      </c>
      <c r="J47" s="148"/>
      <c r="K47" s="148"/>
      <c r="L47" s="147" t="s">
        <v>66</v>
      </c>
      <c r="M47" s="147">
        <v>-700000</v>
      </c>
      <c r="N47" s="147"/>
    </row>
    <row r="48" spans="1:14" ht="20.25" customHeight="1" x14ac:dyDescent="0.15">
      <c r="H48" s="147">
        <v>1300000</v>
      </c>
      <c r="I48" s="148" t="s">
        <v>89</v>
      </c>
      <c r="J48" s="148"/>
      <c r="K48" s="148"/>
      <c r="L48" s="147" t="s">
        <v>66</v>
      </c>
      <c r="M48" s="150">
        <v>0.75</v>
      </c>
      <c r="N48" s="147">
        <v>-375000</v>
      </c>
    </row>
    <row r="49" spans="8:14" ht="20.25" customHeight="1" x14ac:dyDescent="0.15">
      <c r="H49" s="147">
        <v>4100000</v>
      </c>
      <c r="I49" s="148" t="s">
        <v>90</v>
      </c>
      <c r="J49" s="148"/>
      <c r="K49" s="148"/>
      <c r="L49" s="147" t="s">
        <v>66</v>
      </c>
      <c r="M49" s="150">
        <v>0.85</v>
      </c>
      <c r="N49" s="147">
        <v>-785000</v>
      </c>
    </row>
    <row r="50" spans="8:14" ht="20.25" customHeight="1" x14ac:dyDescent="0.15">
      <c r="H50" s="147">
        <v>7700000</v>
      </c>
      <c r="I50" s="148" t="s">
        <v>91</v>
      </c>
      <c r="J50" s="148"/>
      <c r="K50" s="148"/>
      <c r="L50" s="147" t="s">
        <v>66</v>
      </c>
      <c r="M50" s="150">
        <v>0.95</v>
      </c>
      <c r="N50" s="147">
        <v>-1555000</v>
      </c>
    </row>
    <row r="51" spans="8:14" ht="20.25" customHeight="1" x14ac:dyDescent="0.15">
      <c r="H51" s="147">
        <v>10000000</v>
      </c>
      <c r="I51" s="148"/>
      <c r="J51" s="148"/>
      <c r="K51" s="148"/>
      <c r="L51" s="147"/>
      <c r="M51" s="150"/>
      <c r="N51" s="147"/>
    </row>
    <row r="52" spans="8:14" ht="20.25" customHeight="1" x14ac:dyDescent="0.15">
      <c r="H52" s="151" t="s">
        <v>98</v>
      </c>
      <c r="I52" s="152"/>
      <c r="J52" s="152"/>
      <c r="K52" s="152"/>
      <c r="L52" s="152"/>
      <c r="M52" s="152"/>
      <c r="N52" s="153"/>
    </row>
    <row r="53" spans="8:14" ht="20.25" customHeight="1" x14ac:dyDescent="0.15">
      <c r="H53" s="147" t="s">
        <v>52</v>
      </c>
      <c r="I53" s="147" t="s">
        <v>92</v>
      </c>
      <c r="J53" s="147"/>
      <c r="K53" s="147"/>
      <c r="L53" s="147" t="s">
        <v>53</v>
      </c>
      <c r="M53" s="147" t="s">
        <v>69</v>
      </c>
      <c r="N53" s="147" t="s">
        <v>70</v>
      </c>
    </row>
    <row r="54" spans="8:14" ht="20.25" customHeight="1" x14ac:dyDescent="0.15">
      <c r="H54" s="147">
        <v>3299999</v>
      </c>
      <c r="I54" s="148" t="s">
        <v>88</v>
      </c>
      <c r="J54" s="148"/>
      <c r="K54" s="148"/>
      <c r="L54" s="147" t="s">
        <v>66</v>
      </c>
      <c r="M54" s="147">
        <v>-1200000</v>
      </c>
      <c r="N54" s="147"/>
    </row>
    <row r="55" spans="8:14" ht="20.25" customHeight="1" x14ac:dyDescent="0.15">
      <c r="H55" s="147">
        <v>3300000</v>
      </c>
      <c r="I55" s="148" t="s">
        <v>89</v>
      </c>
      <c r="J55" s="148"/>
      <c r="K55" s="148"/>
      <c r="L55" s="147" t="s">
        <v>66</v>
      </c>
      <c r="M55" s="150">
        <v>0.75</v>
      </c>
      <c r="N55" s="147">
        <v>-375000</v>
      </c>
    </row>
    <row r="56" spans="8:14" ht="20.25" customHeight="1" x14ac:dyDescent="0.15">
      <c r="H56" s="147">
        <v>4100000</v>
      </c>
      <c r="I56" s="148" t="s">
        <v>90</v>
      </c>
      <c r="J56" s="148"/>
      <c r="K56" s="148"/>
      <c r="L56" s="147" t="s">
        <v>66</v>
      </c>
      <c r="M56" s="150">
        <v>0.85</v>
      </c>
      <c r="N56" s="147">
        <v>-785000</v>
      </c>
    </row>
    <row r="57" spans="8:14" ht="20.25" customHeight="1" x14ac:dyDescent="0.15">
      <c r="H57" s="147">
        <v>7700000</v>
      </c>
      <c r="I57" s="148" t="s">
        <v>91</v>
      </c>
      <c r="J57" s="148"/>
      <c r="K57" s="148"/>
      <c r="L57" s="147" t="s">
        <v>66</v>
      </c>
      <c r="M57" s="150">
        <v>0.95</v>
      </c>
      <c r="N57" s="147">
        <v>-1555000</v>
      </c>
    </row>
    <row r="58" spans="8:14" ht="20.25" customHeight="1" x14ac:dyDescent="0.15">
      <c r="H58" s="147">
        <v>10000000</v>
      </c>
      <c r="I58" s="148"/>
      <c r="J58" s="148"/>
      <c r="K58" s="148"/>
      <c r="L58" s="147"/>
      <c r="M58" s="150"/>
      <c r="N58" s="147"/>
    </row>
    <row r="59" spans="8:14" ht="20.25" customHeight="1" x14ac:dyDescent="0.15"/>
    <row r="60" spans="8:14" ht="18.75" customHeight="1" x14ac:dyDescent="0.15"/>
    <row r="61" spans="8:14" ht="18.75" customHeight="1" x14ac:dyDescent="0.15"/>
    <row r="62" spans="8:14" ht="18.75" customHeight="1" x14ac:dyDescent="0.15"/>
    <row r="63" spans="8:14" ht="18.75" customHeight="1" x14ac:dyDescent="0.15"/>
    <row r="64" spans="8:14" ht="18.75" customHeight="1" x14ac:dyDescent="0.15"/>
  </sheetData>
  <sheetProtection selectLockedCells="1"/>
  <customSheetViews>
    <customSheetView guid="{813CF4DA-321F-40D8-B878-1BB99E1534D2}">
      <selection activeCell="E3" sqref="E3"/>
      <pageMargins left="0.7" right="0.7" top="0.75" bottom="0.75" header="0.3" footer="0.3"/>
      <pageSetup paperSize="9" orientation="portrait" r:id="rId1"/>
    </customSheetView>
  </customSheetViews>
  <mergeCells count="2">
    <mergeCell ref="I45:K45"/>
    <mergeCell ref="H45:H46"/>
  </mergeCells>
  <phoneticPr fontId="2"/>
  <pageMargins left="0.7" right="0.7" top="0.75" bottom="0.75" header="0.3" footer="0.3"/>
  <pageSetup paperSize="9" scale="83" fitToHeight="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試算をする前に・・・</vt:lpstr>
      <vt:lpstr>所得金額とは</vt:lpstr>
      <vt:lpstr>試算シートA</vt:lpstr>
      <vt:lpstr>試算シートB</vt:lpstr>
      <vt:lpstr>軽減判定</vt:lpstr>
      <vt:lpstr>軽減判定!Print_Area</vt:lpstr>
      <vt:lpstr>試算シートA!Print_Area</vt:lpstr>
      <vt:lpstr>試算シートB!Print_Area</vt:lpstr>
      <vt:lpstr>試算をする前に・・・!Print_Area</vt:lpstr>
      <vt:lpstr>所得金額とは!Print_Area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岩清水　大輝</cp:lastModifiedBy>
  <cp:lastPrinted>2023-03-17T07:33:26Z</cp:lastPrinted>
  <dcterms:created xsi:type="dcterms:W3CDTF">2016-11-02T07:03:08Z</dcterms:created>
  <dcterms:modified xsi:type="dcterms:W3CDTF">2023-10-10T05:54:32Z</dcterms:modified>
</cp:coreProperties>
</file>